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/>
  <bookViews>
    <workbookView xWindow="-120" yWindow="-120" windowWidth="19440" windowHeight="11640" tabRatio="588"/>
  </bookViews>
  <sheets>
    <sheet name="CONSOLIDAÇÃO" sheetId="32" r:id="rId1"/>
    <sheet name="UNIDADES ADMINISTRATIVAS " sheetId="30" r:id="rId2"/>
    <sheet name="INSTITUTOS" sheetId="34" r:id="rId3"/>
    <sheet name="NUCLEOS" sheetId="35" r:id="rId4"/>
    <sheet name="CAMPI" sheetId="36" r:id="rId5"/>
    <sheet name="UNIDADES ESPECIAIS" sheetId="31" r:id="rId6"/>
    <sheet name="consolidado - extra" sheetId="33" state="hidden" r:id="rId7"/>
    <sheet name="CAPITAL" sheetId="28" state="hidden" r:id="rId8"/>
    <sheet name="Plan2" sheetId="27" state="hidden" r:id="rId9"/>
    <sheet name="Plan1" sheetId="25" state="hidden" r:id="rId10"/>
    <sheet name="Limites x PLOA" sheetId="26" state="hidden" r:id="rId11"/>
    <sheet name="iniciativas estratégicas" sheetId="29" state="hidden" r:id="rId12"/>
  </sheets>
  <externalReferences>
    <externalReference r:id="rId13"/>
  </externalReferences>
  <definedNames>
    <definedName name="_xlnm.Print_Area" localSheetId="4">CAMPI!$A$1:$K$1113</definedName>
    <definedName name="_xlnm.Print_Area" localSheetId="7">CAPITAL!$A$1:$O$1689</definedName>
    <definedName name="_xlnm.Print_Area" localSheetId="0">CONSOLIDAÇÃO!$A$1:$Q$50</definedName>
    <definedName name="_xlnm.Print_Area" localSheetId="6">'consolidado - extra'!$A$1:$K$154</definedName>
    <definedName name="_xlnm.Print_Area" localSheetId="2">INSTITUTOS!$A$1:$K$638</definedName>
    <definedName name="_xlnm.Print_Area" localSheetId="3">NUCLEOS!$A$1:$K$1138</definedName>
    <definedName name="_xlnm.Print_Area" localSheetId="1">'UNIDADES ADMINISTRATIVAS '!$A$1:$I$670</definedName>
    <definedName name="_xlnm.Print_Area" localSheetId="5">'UNIDADES ESPECIAIS'!$A$1:$K$1139</definedName>
  </definedNames>
  <calcPr calcId="125725"/>
</workbook>
</file>

<file path=xl/calcChain.xml><?xml version="1.0" encoding="utf-8"?>
<calcChain xmlns="http://schemas.openxmlformats.org/spreadsheetml/2006/main">
  <c r="K285" i="34"/>
  <c r="K238" i="31"/>
  <c r="K215"/>
  <c r="I543" i="30"/>
  <c r="J268" i="34" l="1"/>
  <c r="I268"/>
  <c r="J1112" i="36"/>
  <c r="I1112"/>
  <c r="J1111"/>
  <c r="I1111"/>
  <c r="J1109"/>
  <c r="J1108" s="1"/>
  <c r="I1109"/>
  <c r="I1108" s="1"/>
  <c r="K1108" s="1"/>
  <c r="J1107"/>
  <c r="I1107"/>
  <c r="J1106"/>
  <c r="I1106"/>
  <c r="J1105"/>
  <c r="I1105"/>
  <c r="J1104"/>
  <c r="I1104"/>
  <c r="J1103"/>
  <c r="I1103"/>
  <c r="J1102"/>
  <c r="I1102"/>
  <c r="J1101"/>
  <c r="I1101"/>
  <c r="J1100"/>
  <c r="I1100"/>
  <c r="J1094"/>
  <c r="I1094"/>
  <c r="J1093"/>
  <c r="I1093"/>
  <c r="J1091"/>
  <c r="J1090" s="1"/>
  <c r="J168" s="1"/>
  <c r="I1091"/>
  <c r="I1090" s="1"/>
  <c r="J1089"/>
  <c r="I1089"/>
  <c r="J1088"/>
  <c r="I1088"/>
  <c r="J1087"/>
  <c r="I1087"/>
  <c r="J1086"/>
  <c r="I1086"/>
  <c r="J1085"/>
  <c r="I1085"/>
  <c r="J1084"/>
  <c r="I1084"/>
  <c r="J1082"/>
  <c r="I1082"/>
  <c r="J1081"/>
  <c r="I1081"/>
  <c r="J1080"/>
  <c r="I1080"/>
  <c r="J1064"/>
  <c r="I1064"/>
  <c r="J1063"/>
  <c r="I1063"/>
  <c r="J1061"/>
  <c r="J1060" s="1"/>
  <c r="J163" s="1"/>
  <c r="I1061"/>
  <c r="I1060" s="1"/>
  <c r="I163" s="1"/>
  <c r="J1059"/>
  <c r="I1059"/>
  <c r="J1058"/>
  <c r="I1058"/>
  <c r="J1057"/>
  <c r="I1057"/>
  <c r="J1056"/>
  <c r="I1056"/>
  <c r="J1055"/>
  <c r="I1055"/>
  <c r="J1054"/>
  <c r="I1054"/>
  <c r="J1052"/>
  <c r="I1052"/>
  <c r="J1051"/>
  <c r="J1050" s="1"/>
  <c r="J161" s="1"/>
  <c r="I1051"/>
  <c r="J1035"/>
  <c r="J1034" s="1"/>
  <c r="J159" s="1"/>
  <c r="I1035"/>
  <c r="I1034" s="1"/>
  <c r="I159" s="1"/>
  <c r="J1033"/>
  <c r="J1032" s="1"/>
  <c r="I1033"/>
  <c r="I1032" s="1"/>
  <c r="J1031"/>
  <c r="I1031"/>
  <c r="J1030"/>
  <c r="I1030"/>
  <c r="J1029"/>
  <c r="I1029"/>
  <c r="J1028"/>
  <c r="I1028"/>
  <c r="J1027"/>
  <c r="I1027"/>
  <c r="J1021"/>
  <c r="J1020" s="1"/>
  <c r="J155" s="1"/>
  <c r="I1021"/>
  <c r="I1020" s="1"/>
  <c r="I155" s="1"/>
  <c r="J1019"/>
  <c r="J1018" s="1"/>
  <c r="J154" s="1"/>
  <c r="I1019"/>
  <c r="I1018" s="1"/>
  <c r="K1018" s="1"/>
  <c r="J1017"/>
  <c r="I1017"/>
  <c r="J1016"/>
  <c r="I1016"/>
  <c r="J1015"/>
  <c r="I1015"/>
  <c r="J1014"/>
  <c r="I1014"/>
  <c r="J1013"/>
  <c r="I1013"/>
  <c r="J1012"/>
  <c r="I1012"/>
  <c r="J1011"/>
  <c r="I1011"/>
  <c r="J1010"/>
  <c r="I1010"/>
  <c r="J1009"/>
  <c r="I1009"/>
  <c r="J1007"/>
  <c r="J1006" s="1"/>
  <c r="J152" s="1"/>
  <c r="I1007"/>
  <c r="I1006" s="1"/>
  <c r="I152" s="1"/>
  <c r="J991"/>
  <c r="J990" s="1"/>
  <c r="J150" s="1"/>
  <c r="I991"/>
  <c r="I990" s="1"/>
  <c r="J989"/>
  <c r="I989"/>
  <c r="J988"/>
  <c r="I988"/>
  <c r="J987"/>
  <c r="I987"/>
  <c r="J985"/>
  <c r="J984" s="1"/>
  <c r="J148" s="1"/>
  <c r="I985"/>
  <c r="I984" s="1"/>
  <c r="J979"/>
  <c r="I979"/>
  <c r="J978"/>
  <c r="I978"/>
  <c r="J977"/>
  <c r="I977"/>
  <c r="J975"/>
  <c r="J974" s="1"/>
  <c r="J145" s="1"/>
  <c r="I975"/>
  <c r="I974" s="1"/>
  <c r="J973"/>
  <c r="I973"/>
  <c r="J972"/>
  <c r="I972"/>
  <c r="J971"/>
  <c r="I971"/>
  <c r="J970"/>
  <c r="I970"/>
  <c r="J969"/>
  <c r="I969"/>
  <c r="J967"/>
  <c r="I967"/>
  <c r="J966"/>
  <c r="I966"/>
  <c r="J965"/>
  <c r="I965"/>
  <c r="J964"/>
  <c r="I964"/>
  <c r="J963"/>
  <c r="I963"/>
  <c r="J962"/>
  <c r="I962"/>
  <c r="J946"/>
  <c r="J945" s="1"/>
  <c r="J42" s="1"/>
  <c r="I946"/>
  <c r="I945" s="1"/>
  <c r="J944"/>
  <c r="J943" s="1"/>
  <c r="J41" s="1"/>
  <c r="I944"/>
  <c r="I943" s="1"/>
  <c r="I41" s="1"/>
  <c r="J942"/>
  <c r="I942"/>
  <c r="J941"/>
  <c r="I941"/>
  <c r="J940"/>
  <c r="I940"/>
  <c r="J939"/>
  <c r="I939"/>
  <c r="J938"/>
  <c r="I938"/>
  <c r="J936"/>
  <c r="J935" s="1"/>
  <c r="I936"/>
  <c r="I935" s="1"/>
  <c r="I39" s="1"/>
  <c r="J930"/>
  <c r="I930"/>
  <c r="J929"/>
  <c r="I929"/>
  <c r="J927"/>
  <c r="J926" s="1"/>
  <c r="J34" s="1"/>
  <c r="I927"/>
  <c r="I926" s="1"/>
  <c r="I34" s="1"/>
  <c r="J925"/>
  <c r="I925"/>
  <c r="J924"/>
  <c r="I924"/>
  <c r="J923"/>
  <c r="I923"/>
  <c r="J922"/>
  <c r="I922"/>
  <c r="J921"/>
  <c r="I921"/>
  <c r="J920"/>
  <c r="I920"/>
  <c r="J904"/>
  <c r="I904"/>
  <c r="J903"/>
  <c r="I903"/>
  <c r="J901"/>
  <c r="J900" s="1"/>
  <c r="J22" s="1"/>
  <c r="I901"/>
  <c r="I900" s="1"/>
  <c r="I22" s="1"/>
  <c r="K22" s="1"/>
  <c r="J899"/>
  <c r="I899"/>
  <c r="J898"/>
  <c r="I898"/>
  <c r="J897"/>
  <c r="I897"/>
  <c r="J896"/>
  <c r="I896"/>
  <c r="J890"/>
  <c r="I890"/>
  <c r="J889"/>
  <c r="I889"/>
  <c r="I888" s="1"/>
  <c r="I19" s="1"/>
  <c r="J887"/>
  <c r="J886" s="1"/>
  <c r="J18" s="1"/>
  <c r="I887"/>
  <c r="I886" s="1"/>
  <c r="J885"/>
  <c r="I885"/>
  <c r="J884"/>
  <c r="I884"/>
  <c r="J883"/>
  <c r="I883"/>
  <c r="J882"/>
  <c r="I882"/>
  <c r="J881"/>
  <c r="I881"/>
  <c r="I879" s="1"/>
  <c r="I17" s="1"/>
  <c r="J880"/>
  <c r="I880"/>
  <c r="J864"/>
  <c r="J863" s="1"/>
  <c r="I864"/>
  <c r="I863" s="1"/>
  <c r="J862"/>
  <c r="I862"/>
  <c r="J861"/>
  <c r="I861"/>
  <c r="J860"/>
  <c r="I860"/>
  <c r="J853"/>
  <c r="I853"/>
  <c r="J852"/>
  <c r="I852"/>
  <c r="J850"/>
  <c r="J849" s="1"/>
  <c r="I850"/>
  <c r="I849" s="1"/>
  <c r="J848"/>
  <c r="I848"/>
  <c r="J847"/>
  <c r="I847"/>
  <c r="J846"/>
  <c r="I846"/>
  <c r="J845"/>
  <c r="I845"/>
  <c r="J844"/>
  <c r="I844"/>
  <c r="J843"/>
  <c r="I843"/>
  <c r="J827"/>
  <c r="I827"/>
  <c r="J826"/>
  <c r="I826"/>
  <c r="J825"/>
  <c r="I825"/>
  <c r="J823"/>
  <c r="J822" s="1"/>
  <c r="J178" s="1"/>
  <c r="I823"/>
  <c r="I822" s="1"/>
  <c r="I178" s="1"/>
  <c r="J821"/>
  <c r="I821"/>
  <c r="J820"/>
  <c r="I820"/>
  <c r="J819"/>
  <c r="I819"/>
  <c r="J818"/>
  <c r="I818"/>
  <c r="J817"/>
  <c r="I817"/>
  <c r="J816"/>
  <c r="I816"/>
  <c r="J815"/>
  <c r="I815"/>
  <c r="J814"/>
  <c r="I814"/>
  <c r="J813"/>
  <c r="I813"/>
  <c r="J798"/>
  <c r="J797" s="1"/>
  <c r="J118" s="1"/>
  <c r="I798"/>
  <c r="I797" s="1"/>
  <c r="I118" s="1"/>
  <c r="J796"/>
  <c r="I796"/>
  <c r="J795"/>
  <c r="I795"/>
  <c r="J794"/>
  <c r="I794"/>
  <c r="J793"/>
  <c r="I793"/>
  <c r="J792"/>
  <c r="I792"/>
  <c r="J791"/>
  <c r="I791"/>
  <c r="I790" s="1"/>
  <c r="I117" s="1"/>
  <c r="J785"/>
  <c r="J784" s="1"/>
  <c r="I785"/>
  <c r="I784" s="1"/>
  <c r="J783"/>
  <c r="I783"/>
  <c r="J782"/>
  <c r="I782"/>
  <c r="J781"/>
  <c r="I781"/>
  <c r="J775"/>
  <c r="I775"/>
  <c r="J774"/>
  <c r="I774"/>
  <c r="J772"/>
  <c r="I772"/>
  <c r="J771"/>
  <c r="I771"/>
  <c r="J770"/>
  <c r="I770"/>
  <c r="J769"/>
  <c r="I769"/>
  <c r="I768" s="1"/>
  <c r="I109" s="1"/>
  <c r="J753"/>
  <c r="I753"/>
  <c r="J752"/>
  <c r="I752"/>
  <c r="J746"/>
  <c r="J745" s="1"/>
  <c r="I746"/>
  <c r="I745" s="1"/>
  <c r="I31" s="1"/>
  <c r="J744"/>
  <c r="J743" s="1"/>
  <c r="J30" s="1"/>
  <c r="I744"/>
  <c r="I743" s="1"/>
  <c r="J742"/>
  <c r="I742"/>
  <c r="J741"/>
  <c r="I741"/>
  <c r="J740"/>
  <c r="I740"/>
  <c r="J739"/>
  <c r="I739"/>
  <c r="J738"/>
  <c r="I738"/>
  <c r="J732"/>
  <c r="J731" s="1"/>
  <c r="J15" s="1"/>
  <c r="I732"/>
  <c r="I731" s="1"/>
  <c r="J730"/>
  <c r="J729" s="1"/>
  <c r="J14" s="1"/>
  <c r="I730"/>
  <c r="I729" s="1"/>
  <c r="J728"/>
  <c r="I728"/>
  <c r="J727"/>
  <c r="I727"/>
  <c r="J726"/>
  <c r="I726"/>
  <c r="J725"/>
  <c r="I725"/>
  <c r="J697"/>
  <c r="I697"/>
  <c r="J696"/>
  <c r="I696"/>
  <c r="J694"/>
  <c r="J693" s="1"/>
  <c r="J182" s="1"/>
  <c r="I694"/>
  <c r="I693" s="1"/>
  <c r="I182" s="1"/>
  <c r="J692"/>
  <c r="I692"/>
  <c r="J691"/>
  <c r="I691"/>
  <c r="J690"/>
  <c r="I690"/>
  <c r="J689"/>
  <c r="I689"/>
  <c r="J688"/>
  <c r="I688"/>
  <c r="J687"/>
  <c r="I687"/>
  <c r="K664"/>
  <c r="K663"/>
  <c r="K661"/>
  <c r="J660"/>
  <c r="I660"/>
  <c r="J659"/>
  <c r="I659"/>
  <c r="J658"/>
  <c r="I658"/>
  <c r="J657"/>
  <c r="I657"/>
  <c r="J656"/>
  <c r="I656"/>
  <c r="J655"/>
  <c r="I655"/>
  <c r="J654"/>
  <c r="I654"/>
  <c r="J653"/>
  <c r="I653"/>
  <c r="J652"/>
  <c r="I652"/>
  <c r="J651"/>
  <c r="I651"/>
  <c r="J650"/>
  <c r="I650"/>
  <c r="J648"/>
  <c r="I648"/>
  <c r="J647"/>
  <c r="I647"/>
  <c r="J645"/>
  <c r="J644" s="1"/>
  <c r="J172" s="1"/>
  <c r="I645"/>
  <c r="I644" s="1"/>
  <c r="I172" s="1"/>
  <c r="J643"/>
  <c r="I643"/>
  <c r="J642"/>
  <c r="I642"/>
  <c r="J641"/>
  <c r="I641"/>
  <c r="J640"/>
  <c r="I640"/>
  <c r="J639"/>
  <c r="I639"/>
  <c r="J611"/>
  <c r="I611"/>
  <c r="J610"/>
  <c r="I610"/>
  <c r="J608"/>
  <c r="J607" s="1"/>
  <c r="I608"/>
  <c r="I607" s="1"/>
  <c r="K607" s="1"/>
  <c r="J606"/>
  <c r="I606"/>
  <c r="J605"/>
  <c r="I605"/>
  <c r="J604"/>
  <c r="I604"/>
  <c r="J603"/>
  <c r="I603"/>
  <c r="J602"/>
  <c r="I602"/>
  <c r="J601"/>
  <c r="I601"/>
  <c r="J600"/>
  <c r="I600"/>
  <c r="J599"/>
  <c r="I599"/>
  <c r="J597"/>
  <c r="I597"/>
  <c r="J596"/>
  <c r="I596"/>
  <c r="J595"/>
  <c r="I595"/>
  <c r="J594"/>
  <c r="I594"/>
  <c r="I593" s="1"/>
  <c r="J568"/>
  <c r="I568"/>
  <c r="J567"/>
  <c r="I567"/>
  <c r="J566"/>
  <c r="I566"/>
  <c r="J565"/>
  <c r="I565"/>
  <c r="J564"/>
  <c r="I564"/>
  <c r="J563"/>
  <c r="I563"/>
  <c r="J562"/>
  <c r="I562"/>
  <c r="J561"/>
  <c r="I561"/>
  <c r="I560" s="1"/>
  <c r="I115" s="1"/>
  <c r="I114" s="1"/>
  <c r="J555"/>
  <c r="J554" s="1"/>
  <c r="I555"/>
  <c r="I554" s="1"/>
  <c r="I107" s="1"/>
  <c r="K554"/>
  <c r="J553"/>
  <c r="I553"/>
  <c r="J552"/>
  <c r="I552"/>
  <c r="J551"/>
  <c r="J550" s="1"/>
  <c r="J549" s="1"/>
  <c r="I551"/>
  <c r="J526"/>
  <c r="I526"/>
  <c r="J525"/>
  <c r="I525"/>
  <c r="J524"/>
  <c r="I524"/>
  <c r="J523"/>
  <c r="J522" s="1"/>
  <c r="J104" s="1"/>
  <c r="I523"/>
  <c r="J521"/>
  <c r="J520" s="1"/>
  <c r="I521"/>
  <c r="I520" s="1"/>
  <c r="I103" s="1"/>
  <c r="J519"/>
  <c r="I519"/>
  <c r="J518"/>
  <c r="I518"/>
  <c r="J517"/>
  <c r="I517"/>
  <c r="J516"/>
  <c r="I516"/>
  <c r="J515"/>
  <c r="I515"/>
  <c r="J514"/>
  <c r="I514"/>
  <c r="J513"/>
  <c r="I513"/>
  <c r="J512"/>
  <c r="I512"/>
  <c r="J511"/>
  <c r="I511"/>
  <c r="J510"/>
  <c r="I510"/>
  <c r="J508"/>
  <c r="J507" s="1"/>
  <c r="I508"/>
  <c r="I507" s="1"/>
  <c r="I101" s="1"/>
  <c r="J492"/>
  <c r="I492"/>
  <c r="J491"/>
  <c r="I491"/>
  <c r="J490"/>
  <c r="I490"/>
  <c r="J489"/>
  <c r="I489"/>
  <c r="J487"/>
  <c r="J486" s="1"/>
  <c r="J98" s="1"/>
  <c r="I487"/>
  <c r="I486" s="1"/>
  <c r="J481"/>
  <c r="J480" s="1"/>
  <c r="J96" s="1"/>
  <c r="I481"/>
  <c r="I480" s="1"/>
  <c r="I96" s="1"/>
  <c r="K480"/>
  <c r="J479"/>
  <c r="J478" s="1"/>
  <c r="J95" s="1"/>
  <c r="I479"/>
  <c r="I478" s="1"/>
  <c r="I95" s="1"/>
  <c r="J477"/>
  <c r="I477"/>
  <c r="J476"/>
  <c r="I476"/>
  <c r="J475"/>
  <c r="I475"/>
  <c r="J474"/>
  <c r="I474"/>
  <c r="J473"/>
  <c r="I473"/>
  <c r="J448"/>
  <c r="I448"/>
  <c r="J447"/>
  <c r="I447"/>
  <c r="J446"/>
  <c r="I446"/>
  <c r="J445"/>
  <c r="I445"/>
  <c r="J443"/>
  <c r="J442" s="1"/>
  <c r="J91" s="1"/>
  <c r="I443"/>
  <c r="I442" s="1"/>
  <c r="I91" s="1"/>
  <c r="J441"/>
  <c r="I441"/>
  <c r="J440"/>
  <c r="I440"/>
  <c r="J439"/>
  <c r="I439"/>
  <c r="J438"/>
  <c r="I438"/>
  <c r="J437"/>
  <c r="I437"/>
  <c r="J436"/>
  <c r="I436"/>
  <c r="J435"/>
  <c r="I435"/>
  <c r="J434"/>
  <c r="I434"/>
  <c r="J433"/>
  <c r="I433"/>
  <c r="J432"/>
  <c r="I432"/>
  <c r="J430"/>
  <c r="J429" s="1"/>
  <c r="I430"/>
  <c r="I429" s="1"/>
  <c r="I89" s="1"/>
  <c r="J411"/>
  <c r="J410" s="1"/>
  <c r="J87" s="1"/>
  <c r="I411"/>
  <c r="I410" s="1"/>
  <c r="I87" s="1"/>
  <c r="J409"/>
  <c r="J408" s="1"/>
  <c r="J86" s="1"/>
  <c r="I409"/>
  <c r="I408" s="1"/>
  <c r="J407"/>
  <c r="I407"/>
  <c r="J406"/>
  <c r="I406"/>
  <c r="J405"/>
  <c r="I405"/>
  <c r="J403"/>
  <c r="J402" s="1"/>
  <c r="J84" s="1"/>
  <c r="I403"/>
  <c r="I402" s="1"/>
  <c r="J397"/>
  <c r="I397"/>
  <c r="J396"/>
  <c r="I396"/>
  <c r="K395"/>
  <c r="J394"/>
  <c r="J393" s="1"/>
  <c r="J81" s="1"/>
  <c r="I394"/>
  <c r="I393" s="1"/>
  <c r="I81" s="1"/>
  <c r="J392"/>
  <c r="I392"/>
  <c r="J391"/>
  <c r="I391"/>
  <c r="J390"/>
  <c r="I390"/>
  <c r="J389"/>
  <c r="I389"/>
  <c r="J388"/>
  <c r="I388"/>
  <c r="J370"/>
  <c r="J369" s="1"/>
  <c r="J78" s="1"/>
  <c r="I370"/>
  <c r="I369" s="1"/>
  <c r="I78" s="1"/>
  <c r="J368"/>
  <c r="J367" s="1"/>
  <c r="J77" s="1"/>
  <c r="I368"/>
  <c r="I367" s="1"/>
  <c r="I77" s="1"/>
  <c r="J366"/>
  <c r="I366"/>
  <c r="J365"/>
  <c r="I365"/>
  <c r="J364"/>
  <c r="I364"/>
  <c r="J363"/>
  <c r="I363"/>
  <c r="J362"/>
  <c r="I362"/>
  <c r="J361"/>
  <c r="I361"/>
  <c r="J360"/>
  <c r="I360"/>
  <c r="J359"/>
  <c r="I359"/>
  <c r="J358"/>
  <c r="I358"/>
  <c r="J357"/>
  <c r="I357"/>
  <c r="J355"/>
  <c r="J354" s="1"/>
  <c r="J75" s="1"/>
  <c r="I355"/>
  <c r="I354" s="1"/>
  <c r="I75" s="1"/>
  <c r="J349"/>
  <c r="J348" s="1"/>
  <c r="I349"/>
  <c r="I348" s="1"/>
  <c r="J347"/>
  <c r="I347"/>
  <c r="J346"/>
  <c r="I346"/>
  <c r="J345"/>
  <c r="I345"/>
  <c r="J329"/>
  <c r="J328" s="1"/>
  <c r="I329"/>
  <c r="I328" s="1"/>
  <c r="I58" s="1"/>
  <c r="J327"/>
  <c r="I327"/>
  <c r="J326"/>
  <c r="I326"/>
  <c r="J325"/>
  <c r="I325"/>
  <c r="J324"/>
  <c r="I324"/>
  <c r="J323"/>
  <c r="I323"/>
  <c r="J321"/>
  <c r="J320" s="1"/>
  <c r="J56" s="1"/>
  <c r="I321"/>
  <c r="I320" s="1"/>
  <c r="K313"/>
  <c r="J312"/>
  <c r="J54" s="1"/>
  <c r="I312"/>
  <c r="I54" s="1"/>
  <c r="K311"/>
  <c r="K310"/>
  <c r="J309"/>
  <c r="I309"/>
  <c r="K308"/>
  <c r="K307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I295"/>
  <c r="J279"/>
  <c r="J278" s="1"/>
  <c r="J27" s="1"/>
  <c r="I279"/>
  <c r="I278" s="1"/>
  <c r="K278"/>
  <c r="J277"/>
  <c r="I277"/>
  <c r="J276"/>
  <c r="I276"/>
  <c r="J275"/>
  <c r="I275"/>
  <c r="J274"/>
  <c r="I274"/>
  <c r="J273"/>
  <c r="I273"/>
  <c r="J272"/>
  <c r="I272"/>
  <c r="J271"/>
  <c r="I271"/>
  <c r="J270"/>
  <c r="I270"/>
  <c r="J268"/>
  <c r="J267" s="1"/>
  <c r="J25" s="1"/>
  <c r="I268"/>
  <c r="I267" s="1"/>
  <c r="K251"/>
  <c r="K250"/>
  <c r="J249"/>
  <c r="J48" s="1"/>
  <c r="I249"/>
  <c r="K248"/>
  <c r="K247"/>
  <c r="J246"/>
  <c r="I246"/>
  <c r="K244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J229" s="1"/>
  <c r="I231"/>
  <c r="I230"/>
  <c r="J221"/>
  <c r="J220" s="1"/>
  <c r="I221"/>
  <c r="I220" s="1"/>
  <c r="I123" s="1"/>
  <c r="K219"/>
  <c r="K218"/>
  <c r="J216"/>
  <c r="I216"/>
  <c r="J214"/>
  <c r="I214"/>
  <c r="J212"/>
  <c r="J211" s="1"/>
  <c r="J120" s="1"/>
  <c r="I212"/>
  <c r="I211" s="1"/>
  <c r="J193"/>
  <c r="J190"/>
  <c r="J186"/>
  <c r="J175"/>
  <c r="I175"/>
  <c r="I168"/>
  <c r="J158"/>
  <c r="I145"/>
  <c r="J140"/>
  <c r="J122"/>
  <c r="I122"/>
  <c r="J113"/>
  <c r="J107"/>
  <c r="J103"/>
  <c r="I98"/>
  <c r="I84"/>
  <c r="J60"/>
  <c r="I56"/>
  <c r="J53"/>
  <c r="I53"/>
  <c r="J51"/>
  <c r="I51"/>
  <c r="I48"/>
  <c r="J47"/>
  <c r="I47"/>
  <c r="J45"/>
  <c r="I45"/>
  <c r="I42"/>
  <c r="J31"/>
  <c r="I27"/>
  <c r="I25"/>
  <c r="I14"/>
  <c r="J1137" i="35"/>
  <c r="J1135" s="1"/>
  <c r="J204" s="1"/>
  <c r="I1137"/>
  <c r="J1136"/>
  <c r="I1136"/>
  <c r="I1135" s="1"/>
  <c r="J1134"/>
  <c r="J1133" s="1"/>
  <c r="I1134"/>
  <c r="I1133"/>
  <c r="J1132"/>
  <c r="I1132"/>
  <c r="J1131"/>
  <c r="I1131"/>
  <c r="J1130"/>
  <c r="I1130"/>
  <c r="J1129"/>
  <c r="I1129"/>
  <c r="J1128"/>
  <c r="I1128"/>
  <c r="J1127"/>
  <c r="I1127"/>
  <c r="J1126"/>
  <c r="I1126"/>
  <c r="J1125"/>
  <c r="I1125"/>
  <c r="J1124"/>
  <c r="J202" s="1"/>
  <c r="J1118"/>
  <c r="I1118"/>
  <c r="J1117"/>
  <c r="I1117"/>
  <c r="J1115"/>
  <c r="J1114" s="1"/>
  <c r="I1115"/>
  <c r="I1114"/>
  <c r="I168" s="1"/>
  <c r="J1113"/>
  <c r="I1113"/>
  <c r="J1112"/>
  <c r="I1112"/>
  <c r="J1111"/>
  <c r="I1111"/>
  <c r="J1110"/>
  <c r="I1110"/>
  <c r="J1109"/>
  <c r="I1109"/>
  <c r="J1108"/>
  <c r="I1108"/>
  <c r="J1106"/>
  <c r="I1106"/>
  <c r="J1105"/>
  <c r="I1105"/>
  <c r="J1104"/>
  <c r="I1104"/>
  <c r="I1103" s="1"/>
  <c r="I166" s="1"/>
  <c r="J1087"/>
  <c r="I1087"/>
  <c r="J1086"/>
  <c r="J1085" s="1"/>
  <c r="J164" s="1"/>
  <c r="I1086"/>
  <c r="I1085" s="1"/>
  <c r="I164" s="1"/>
  <c r="J1084"/>
  <c r="I1084"/>
  <c r="I1083" s="1"/>
  <c r="J1083"/>
  <c r="J163" s="1"/>
  <c r="J1082"/>
  <c r="I1082"/>
  <c r="J1081"/>
  <c r="I1081"/>
  <c r="J1080"/>
  <c r="I1080"/>
  <c r="J1079"/>
  <c r="I1079"/>
  <c r="J1078"/>
  <c r="I1078"/>
  <c r="J1077"/>
  <c r="I1077"/>
  <c r="I1076" s="1"/>
  <c r="I162" s="1"/>
  <c r="J1075"/>
  <c r="I1075"/>
  <c r="J1074"/>
  <c r="J1073" s="1"/>
  <c r="J161" s="1"/>
  <c r="I1074"/>
  <c r="J1068"/>
  <c r="J1067" s="1"/>
  <c r="J159" s="1"/>
  <c r="I1068"/>
  <c r="I1067" s="1"/>
  <c r="J1066"/>
  <c r="J1065" s="1"/>
  <c r="J158" s="1"/>
  <c r="I1066"/>
  <c r="I1065" s="1"/>
  <c r="I158" s="1"/>
  <c r="J1064"/>
  <c r="I1064"/>
  <c r="J1063"/>
  <c r="I1063"/>
  <c r="J1062"/>
  <c r="I1062"/>
  <c r="J1061"/>
  <c r="I1061"/>
  <c r="J1060"/>
  <c r="I1060"/>
  <c r="J1059"/>
  <c r="J157" s="1"/>
  <c r="J1044"/>
  <c r="J1043" s="1"/>
  <c r="J155" s="1"/>
  <c r="I1044"/>
  <c r="I1043" s="1"/>
  <c r="J1042"/>
  <c r="J1041" s="1"/>
  <c r="I1042"/>
  <c r="I1041" s="1"/>
  <c r="J1040"/>
  <c r="I1040"/>
  <c r="J1039"/>
  <c r="I1039"/>
  <c r="J1038"/>
  <c r="I1038"/>
  <c r="J1037"/>
  <c r="I1037"/>
  <c r="J1036"/>
  <c r="I1036"/>
  <c r="J1035"/>
  <c r="I1035"/>
  <c r="J1034"/>
  <c r="I1034"/>
  <c r="J1033"/>
  <c r="I1033"/>
  <c r="J1032"/>
  <c r="J1031" s="1"/>
  <c r="J153" s="1"/>
  <c r="I1032"/>
  <c r="J1030"/>
  <c r="J1029" s="1"/>
  <c r="I1030"/>
  <c r="I1029" s="1"/>
  <c r="K1029" s="1"/>
  <c r="J1023"/>
  <c r="J1022" s="1"/>
  <c r="I1023"/>
  <c r="I1022"/>
  <c r="I150" s="1"/>
  <c r="J1021"/>
  <c r="I1021"/>
  <c r="J1020"/>
  <c r="I1020"/>
  <c r="J1019"/>
  <c r="J1018" s="1"/>
  <c r="J149" s="1"/>
  <c r="I1019"/>
  <c r="J1017"/>
  <c r="J1016" s="1"/>
  <c r="I1017"/>
  <c r="I1016" s="1"/>
  <c r="J992"/>
  <c r="I992"/>
  <c r="J991"/>
  <c r="I991"/>
  <c r="J990"/>
  <c r="J989" s="1"/>
  <c r="I990"/>
  <c r="J988"/>
  <c r="I988"/>
  <c r="I987" s="1"/>
  <c r="J987"/>
  <c r="J145" s="1"/>
  <c r="J986"/>
  <c r="I986"/>
  <c r="J985"/>
  <c r="I985"/>
  <c r="J984"/>
  <c r="I984"/>
  <c r="J983"/>
  <c r="I983"/>
  <c r="I981" s="1"/>
  <c r="J982"/>
  <c r="I982"/>
  <c r="J980"/>
  <c r="I980"/>
  <c r="J979"/>
  <c r="I979"/>
  <c r="J978"/>
  <c r="I978"/>
  <c r="J977"/>
  <c r="I977"/>
  <c r="J976"/>
  <c r="J974" s="1"/>
  <c r="J143" s="1"/>
  <c r="I976"/>
  <c r="J975"/>
  <c r="I975"/>
  <c r="J957"/>
  <c r="J956" s="1"/>
  <c r="J42" s="1"/>
  <c r="I957"/>
  <c r="I956" s="1"/>
  <c r="J955"/>
  <c r="J954" s="1"/>
  <c r="J41" s="1"/>
  <c r="I955"/>
  <c r="I954" s="1"/>
  <c r="I41" s="1"/>
  <c r="K41" s="1"/>
  <c r="J953"/>
  <c r="I953"/>
  <c r="J952"/>
  <c r="I952"/>
  <c r="J951"/>
  <c r="I951"/>
  <c r="J950"/>
  <c r="I950"/>
  <c r="J949"/>
  <c r="I949"/>
  <c r="J947"/>
  <c r="J946" s="1"/>
  <c r="I947"/>
  <c r="I946" s="1"/>
  <c r="I39" s="1"/>
  <c r="J941"/>
  <c r="I941"/>
  <c r="J940"/>
  <c r="J939" s="1"/>
  <c r="I940"/>
  <c r="J938"/>
  <c r="I938"/>
  <c r="I937" s="1"/>
  <c r="I34" s="1"/>
  <c r="J937"/>
  <c r="J34" s="1"/>
  <c r="J936"/>
  <c r="I936"/>
  <c r="J935"/>
  <c r="I935"/>
  <c r="J934"/>
  <c r="I934"/>
  <c r="J933"/>
  <c r="I933"/>
  <c r="J932"/>
  <c r="I932"/>
  <c r="J931"/>
  <c r="J930" s="1"/>
  <c r="J33" s="1"/>
  <c r="I931"/>
  <c r="I930" s="1"/>
  <c r="J913"/>
  <c r="I913"/>
  <c r="J912"/>
  <c r="J911" s="1"/>
  <c r="I912"/>
  <c r="J910"/>
  <c r="J909" s="1"/>
  <c r="I910"/>
  <c r="I909" s="1"/>
  <c r="J908"/>
  <c r="I908"/>
  <c r="J907"/>
  <c r="I907"/>
  <c r="J906"/>
  <c r="I906"/>
  <c r="I904" s="1"/>
  <c r="J905"/>
  <c r="I905"/>
  <c r="J899"/>
  <c r="I899"/>
  <c r="I897" s="1"/>
  <c r="I19" s="1"/>
  <c r="J898"/>
  <c r="I898"/>
  <c r="J896"/>
  <c r="J895" s="1"/>
  <c r="J18" s="1"/>
  <c r="I896"/>
  <c r="I895" s="1"/>
  <c r="J894"/>
  <c r="I894"/>
  <c r="J893"/>
  <c r="I893"/>
  <c r="J892"/>
  <c r="I892"/>
  <c r="J891"/>
  <c r="I891"/>
  <c r="J890"/>
  <c r="I890"/>
  <c r="J889"/>
  <c r="I889"/>
  <c r="J873"/>
  <c r="J872" s="1"/>
  <c r="I873"/>
  <c r="I872"/>
  <c r="J871"/>
  <c r="I871"/>
  <c r="J870"/>
  <c r="I870"/>
  <c r="J869"/>
  <c r="J868" s="1"/>
  <c r="I869"/>
  <c r="I868" s="1"/>
  <c r="I199" s="1"/>
  <c r="J863"/>
  <c r="I863"/>
  <c r="J862"/>
  <c r="J861" s="1"/>
  <c r="J197" s="1"/>
  <c r="I862"/>
  <c r="J860"/>
  <c r="J859" s="1"/>
  <c r="I860"/>
  <c r="I859" s="1"/>
  <c r="I196" s="1"/>
  <c r="J858"/>
  <c r="I858"/>
  <c r="J857"/>
  <c r="I857"/>
  <c r="J856"/>
  <c r="I856"/>
  <c r="J855"/>
  <c r="I855"/>
  <c r="J854"/>
  <c r="I854"/>
  <c r="J853"/>
  <c r="J852" s="1"/>
  <c r="I853"/>
  <c r="J837"/>
  <c r="I837"/>
  <c r="J836"/>
  <c r="I836"/>
  <c r="J835"/>
  <c r="J834" s="1"/>
  <c r="J179" s="1"/>
  <c r="I835"/>
  <c r="I834" s="1"/>
  <c r="J833"/>
  <c r="J832" s="1"/>
  <c r="I833"/>
  <c r="I832"/>
  <c r="K832" s="1"/>
  <c r="J831"/>
  <c r="I831"/>
  <c r="J830"/>
  <c r="I830"/>
  <c r="J829"/>
  <c r="I829"/>
  <c r="J828"/>
  <c r="I828"/>
  <c r="J827"/>
  <c r="I827"/>
  <c r="J826"/>
  <c r="I826"/>
  <c r="J825"/>
  <c r="I825"/>
  <c r="J824"/>
  <c r="I824"/>
  <c r="J823"/>
  <c r="I823"/>
  <c r="J822"/>
  <c r="J808"/>
  <c r="J807" s="1"/>
  <c r="J118" s="1"/>
  <c r="I808"/>
  <c r="I807" s="1"/>
  <c r="J806"/>
  <c r="I806"/>
  <c r="J805"/>
  <c r="I805"/>
  <c r="J804"/>
  <c r="I804"/>
  <c r="J803"/>
  <c r="I803"/>
  <c r="J802"/>
  <c r="I802"/>
  <c r="I800" s="1"/>
  <c r="I117" s="1"/>
  <c r="I116" s="1"/>
  <c r="J801"/>
  <c r="I801"/>
  <c r="J795"/>
  <c r="J794" s="1"/>
  <c r="J113" s="1"/>
  <c r="I795"/>
  <c r="I794"/>
  <c r="J793"/>
  <c r="I793"/>
  <c r="J792"/>
  <c r="I792"/>
  <c r="J791"/>
  <c r="J790" s="1"/>
  <c r="J112" s="1"/>
  <c r="J111" s="1"/>
  <c r="I791"/>
  <c r="J785"/>
  <c r="I785"/>
  <c r="J784"/>
  <c r="I784"/>
  <c r="J783"/>
  <c r="J782"/>
  <c r="I782"/>
  <c r="J781"/>
  <c r="I781"/>
  <c r="J780"/>
  <c r="J778" s="1"/>
  <c r="J777" s="1"/>
  <c r="I780"/>
  <c r="J779"/>
  <c r="I779"/>
  <c r="I778" s="1"/>
  <c r="K778" s="1"/>
  <c r="J763"/>
  <c r="I763"/>
  <c r="I761" s="1"/>
  <c r="J762"/>
  <c r="I762"/>
  <c r="J756"/>
  <c r="J755" s="1"/>
  <c r="J31" s="1"/>
  <c r="I756"/>
  <c r="I755"/>
  <c r="J754"/>
  <c r="J753" s="1"/>
  <c r="I754"/>
  <c r="I753" s="1"/>
  <c r="J752"/>
  <c r="I752"/>
  <c r="J751"/>
  <c r="I751"/>
  <c r="J750"/>
  <c r="I750"/>
  <c r="J749"/>
  <c r="J747" s="1"/>
  <c r="J746" s="1"/>
  <c r="I749"/>
  <c r="J748"/>
  <c r="I748"/>
  <c r="I747" s="1"/>
  <c r="J742"/>
  <c r="J741" s="1"/>
  <c r="J15" s="1"/>
  <c r="I742"/>
  <c r="I741" s="1"/>
  <c r="K741" s="1"/>
  <c r="J740"/>
  <c r="J739" s="1"/>
  <c r="J14" s="1"/>
  <c r="I740"/>
  <c r="I739" s="1"/>
  <c r="J738"/>
  <c r="I738"/>
  <c r="J737"/>
  <c r="I737"/>
  <c r="J736"/>
  <c r="J734" s="1"/>
  <c r="J733" s="1"/>
  <c r="I736"/>
  <c r="J735"/>
  <c r="I735"/>
  <c r="I734"/>
  <c r="K734" s="1"/>
  <c r="J707"/>
  <c r="I707"/>
  <c r="I705" s="1"/>
  <c r="J706"/>
  <c r="J705" s="1"/>
  <c r="J193" s="1"/>
  <c r="I706"/>
  <c r="J704"/>
  <c r="J703" s="1"/>
  <c r="J192" s="1"/>
  <c r="I704"/>
  <c r="I703" s="1"/>
  <c r="J702"/>
  <c r="I702"/>
  <c r="J701"/>
  <c r="I701"/>
  <c r="J700"/>
  <c r="I700"/>
  <c r="J699"/>
  <c r="I699"/>
  <c r="J698"/>
  <c r="I698"/>
  <c r="J697"/>
  <c r="J696" s="1"/>
  <c r="J191" s="1"/>
  <c r="I697"/>
  <c r="K674"/>
  <c r="K673"/>
  <c r="K671"/>
  <c r="J670"/>
  <c r="I670"/>
  <c r="J669"/>
  <c r="I669"/>
  <c r="J668"/>
  <c r="I668"/>
  <c r="J667"/>
  <c r="I667"/>
  <c r="J666"/>
  <c r="I666"/>
  <c r="J665"/>
  <c r="I665"/>
  <c r="J664"/>
  <c r="I664"/>
  <c r="J663"/>
  <c r="I663"/>
  <c r="J662"/>
  <c r="I662"/>
  <c r="K662" s="1"/>
  <c r="J661"/>
  <c r="I661"/>
  <c r="J660"/>
  <c r="I660"/>
  <c r="J658"/>
  <c r="I658"/>
  <c r="J657"/>
  <c r="I657"/>
  <c r="J655"/>
  <c r="J654" s="1"/>
  <c r="I655"/>
  <c r="I654" s="1"/>
  <c r="K654" s="1"/>
  <c r="J653"/>
  <c r="I653"/>
  <c r="J652"/>
  <c r="I652"/>
  <c r="J651"/>
  <c r="I651"/>
  <c r="J650"/>
  <c r="I650"/>
  <c r="J649"/>
  <c r="I649"/>
  <c r="J648"/>
  <c r="J171" s="1"/>
  <c r="J621"/>
  <c r="I621"/>
  <c r="J620"/>
  <c r="J619" s="1"/>
  <c r="J141" s="1"/>
  <c r="I620"/>
  <c r="I619" s="1"/>
  <c r="I141" s="1"/>
  <c r="J618"/>
  <c r="J617" s="1"/>
  <c r="I618"/>
  <c r="I617" s="1"/>
  <c r="J616"/>
  <c r="I616"/>
  <c r="J615"/>
  <c r="I615"/>
  <c r="J614"/>
  <c r="I614"/>
  <c r="J613"/>
  <c r="I613"/>
  <c r="J612"/>
  <c r="I612"/>
  <c r="J611"/>
  <c r="I611"/>
  <c r="J610"/>
  <c r="J608" s="1"/>
  <c r="I610"/>
  <c r="J609"/>
  <c r="I609"/>
  <c r="I608" s="1"/>
  <c r="J607"/>
  <c r="I607"/>
  <c r="J606"/>
  <c r="I606"/>
  <c r="J605"/>
  <c r="I605"/>
  <c r="J604"/>
  <c r="I604"/>
  <c r="I603" s="1"/>
  <c r="I138" s="1"/>
  <c r="J578"/>
  <c r="I578"/>
  <c r="J577"/>
  <c r="I577"/>
  <c r="J576"/>
  <c r="I576"/>
  <c r="J575"/>
  <c r="I575"/>
  <c r="J574"/>
  <c r="I574"/>
  <c r="J573"/>
  <c r="I573"/>
  <c r="J572"/>
  <c r="I572"/>
  <c r="J571"/>
  <c r="I571"/>
  <c r="I570" s="1"/>
  <c r="I115" s="1"/>
  <c r="J565"/>
  <c r="J564" s="1"/>
  <c r="J107" s="1"/>
  <c r="K107" s="1"/>
  <c r="I565"/>
  <c r="K564"/>
  <c r="I564"/>
  <c r="J563"/>
  <c r="I563"/>
  <c r="J562"/>
  <c r="I562"/>
  <c r="J561"/>
  <c r="J560" s="1"/>
  <c r="I561"/>
  <c r="J536"/>
  <c r="I536"/>
  <c r="J535"/>
  <c r="I535"/>
  <c r="J534"/>
  <c r="I534"/>
  <c r="J533"/>
  <c r="J532" s="1"/>
  <c r="J104" s="1"/>
  <c r="I533"/>
  <c r="J531"/>
  <c r="J530" s="1"/>
  <c r="J103" s="1"/>
  <c r="I531"/>
  <c r="I530" s="1"/>
  <c r="I103" s="1"/>
  <c r="K103" s="1"/>
  <c r="J529"/>
  <c r="I529"/>
  <c r="J528"/>
  <c r="I528"/>
  <c r="J527"/>
  <c r="I527"/>
  <c r="J526"/>
  <c r="I526"/>
  <c r="J525"/>
  <c r="I525"/>
  <c r="J524"/>
  <c r="I524"/>
  <c r="J523"/>
  <c r="I523"/>
  <c r="J522"/>
  <c r="I522"/>
  <c r="J521"/>
  <c r="I521"/>
  <c r="J520"/>
  <c r="J519" s="1"/>
  <c r="I520"/>
  <c r="J518"/>
  <c r="J517" s="1"/>
  <c r="I518"/>
  <c r="I517" s="1"/>
  <c r="I101" s="1"/>
  <c r="J502"/>
  <c r="I502"/>
  <c r="J501"/>
  <c r="I501"/>
  <c r="J500"/>
  <c r="I500"/>
  <c r="I498" s="1"/>
  <c r="I99" s="1"/>
  <c r="J499"/>
  <c r="I499"/>
  <c r="J497"/>
  <c r="J496" s="1"/>
  <c r="J98" s="1"/>
  <c r="I497"/>
  <c r="I496" s="1"/>
  <c r="I98" s="1"/>
  <c r="I97" s="1"/>
  <c r="J491"/>
  <c r="J490" s="1"/>
  <c r="J96" s="1"/>
  <c r="I491"/>
  <c r="I490" s="1"/>
  <c r="K490"/>
  <c r="J489"/>
  <c r="J488" s="1"/>
  <c r="I489"/>
  <c r="I488"/>
  <c r="I95" s="1"/>
  <c r="K95" s="1"/>
  <c r="J487"/>
  <c r="I487"/>
  <c r="J486"/>
  <c r="I486"/>
  <c r="J485"/>
  <c r="I485"/>
  <c r="J484"/>
  <c r="I484"/>
  <c r="J483"/>
  <c r="I483"/>
  <c r="J482"/>
  <c r="J458"/>
  <c r="I458"/>
  <c r="J457"/>
  <c r="I457"/>
  <c r="J456"/>
  <c r="I456"/>
  <c r="J455"/>
  <c r="I455"/>
  <c r="J454"/>
  <c r="J92" s="1"/>
  <c r="J453"/>
  <c r="J452" s="1"/>
  <c r="I453"/>
  <c r="I452" s="1"/>
  <c r="I91" s="1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J90" s="1"/>
  <c r="J440"/>
  <c r="J439" s="1"/>
  <c r="I440"/>
  <c r="I439" s="1"/>
  <c r="I89" s="1"/>
  <c r="J421"/>
  <c r="J420" s="1"/>
  <c r="J87" s="1"/>
  <c r="I421"/>
  <c r="I420" s="1"/>
  <c r="J419"/>
  <c r="J418" s="1"/>
  <c r="J86" s="1"/>
  <c r="I419"/>
  <c r="I418" s="1"/>
  <c r="J417"/>
  <c r="I417"/>
  <c r="J416"/>
  <c r="I416"/>
  <c r="J415"/>
  <c r="I415"/>
  <c r="I414" s="1"/>
  <c r="I85" s="1"/>
  <c r="J413"/>
  <c r="J412" s="1"/>
  <c r="J84" s="1"/>
  <c r="I413"/>
  <c r="I412" s="1"/>
  <c r="J407"/>
  <c r="I407"/>
  <c r="J406"/>
  <c r="I406"/>
  <c r="K405"/>
  <c r="J405"/>
  <c r="J82" s="1"/>
  <c r="J404"/>
  <c r="J403" s="1"/>
  <c r="I404"/>
  <c r="I403" s="1"/>
  <c r="J402"/>
  <c r="I402"/>
  <c r="J401"/>
  <c r="I401"/>
  <c r="J400"/>
  <c r="I400"/>
  <c r="J399"/>
  <c r="I399"/>
  <c r="J398"/>
  <c r="I398"/>
  <c r="J380"/>
  <c r="J379" s="1"/>
  <c r="J78" s="1"/>
  <c r="I380"/>
  <c r="I379" s="1"/>
  <c r="J378"/>
  <c r="J377" s="1"/>
  <c r="I378"/>
  <c r="I377" s="1"/>
  <c r="I77" s="1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J366" s="1"/>
  <c r="J76" s="1"/>
  <c r="I367"/>
  <c r="J365"/>
  <c r="J364" s="1"/>
  <c r="J75" s="1"/>
  <c r="I365"/>
  <c r="I364" s="1"/>
  <c r="I75" s="1"/>
  <c r="J359"/>
  <c r="J358" s="1"/>
  <c r="I359"/>
  <c r="I358"/>
  <c r="J357"/>
  <c r="I357"/>
  <c r="J356"/>
  <c r="I356"/>
  <c r="J355"/>
  <c r="I355"/>
  <c r="J339"/>
  <c r="J338" s="1"/>
  <c r="J58" s="1"/>
  <c r="I339"/>
  <c r="I338" s="1"/>
  <c r="J337"/>
  <c r="I337"/>
  <c r="J336"/>
  <c r="I336"/>
  <c r="J335"/>
  <c r="I335"/>
  <c r="J334"/>
  <c r="I334"/>
  <c r="J333"/>
  <c r="I333"/>
  <c r="I332"/>
  <c r="I57" s="1"/>
  <c r="J331"/>
  <c r="J330" s="1"/>
  <c r="J56" s="1"/>
  <c r="I331"/>
  <c r="I330" s="1"/>
  <c r="K323"/>
  <c r="J322"/>
  <c r="J54" s="1"/>
  <c r="I322"/>
  <c r="K321"/>
  <c r="K320"/>
  <c r="J319"/>
  <c r="I319"/>
  <c r="K318"/>
  <c r="K317"/>
  <c r="J315"/>
  <c r="I315"/>
  <c r="J314"/>
  <c r="I314"/>
  <c r="J313"/>
  <c r="I313"/>
  <c r="J312"/>
  <c r="I312"/>
  <c r="K312" s="1"/>
  <c r="J311"/>
  <c r="I311"/>
  <c r="J310"/>
  <c r="I310"/>
  <c r="J309"/>
  <c r="I309"/>
  <c r="J308"/>
  <c r="I308"/>
  <c r="J307"/>
  <c r="I307"/>
  <c r="J306"/>
  <c r="I306"/>
  <c r="I305"/>
  <c r="J289"/>
  <c r="J288" s="1"/>
  <c r="I289"/>
  <c r="K288"/>
  <c r="I288"/>
  <c r="I27" s="1"/>
  <c r="J287"/>
  <c r="I287"/>
  <c r="J286"/>
  <c r="I286"/>
  <c r="J285"/>
  <c r="I285"/>
  <c r="J284"/>
  <c r="I284"/>
  <c r="J283"/>
  <c r="I283"/>
  <c r="J282"/>
  <c r="I282"/>
  <c r="J281"/>
  <c r="I281"/>
  <c r="J280"/>
  <c r="J279" s="1"/>
  <c r="J26" s="1"/>
  <c r="I280"/>
  <c r="I279" s="1"/>
  <c r="I26" s="1"/>
  <c r="J278"/>
  <c r="J277" s="1"/>
  <c r="I278"/>
  <c r="I277" s="1"/>
  <c r="I25" s="1"/>
  <c r="K261"/>
  <c r="K260"/>
  <c r="J259"/>
  <c r="J48" s="1"/>
  <c r="I259"/>
  <c r="K258"/>
  <c r="K257"/>
  <c r="J256"/>
  <c r="I256"/>
  <c r="K254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J239" s="1"/>
  <c r="J44" s="1"/>
  <c r="I241"/>
  <c r="I240"/>
  <c r="J231"/>
  <c r="J230" s="1"/>
  <c r="J123" s="1"/>
  <c r="I231"/>
  <c r="I230" s="1"/>
  <c r="K229"/>
  <c r="K228"/>
  <c r="J226"/>
  <c r="I226"/>
  <c r="J224"/>
  <c r="I224"/>
  <c r="I223" s="1"/>
  <c r="I121" s="1"/>
  <c r="J222"/>
  <c r="J221" s="1"/>
  <c r="J120" s="1"/>
  <c r="I222"/>
  <c r="I221" s="1"/>
  <c r="J203"/>
  <c r="J200"/>
  <c r="I200"/>
  <c r="J196"/>
  <c r="I179"/>
  <c r="J178"/>
  <c r="J175"/>
  <c r="I175"/>
  <c r="J172"/>
  <c r="I159"/>
  <c r="J154"/>
  <c r="J152"/>
  <c r="J148"/>
  <c r="J146"/>
  <c r="J140"/>
  <c r="I139"/>
  <c r="J122"/>
  <c r="I122"/>
  <c r="I118"/>
  <c r="I113"/>
  <c r="J110"/>
  <c r="I109"/>
  <c r="I107"/>
  <c r="J102"/>
  <c r="I96"/>
  <c r="J95"/>
  <c r="J94"/>
  <c r="J91"/>
  <c r="I86"/>
  <c r="J81"/>
  <c r="I78"/>
  <c r="I60"/>
  <c r="I54"/>
  <c r="J53"/>
  <c r="I53"/>
  <c r="J51"/>
  <c r="I51"/>
  <c r="K51" s="1"/>
  <c r="I48"/>
  <c r="J47"/>
  <c r="I47"/>
  <c r="I46" s="1"/>
  <c r="J45"/>
  <c r="I45"/>
  <c r="K45" s="1"/>
  <c r="I37"/>
  <c r="J35"/>
  <c r="I33"/>
  <c r="I31"/>
  <c r="K31" s="1"/>
  <c r="J30"/>
  <c r="K27"/>
  <c r="J27"/>
  <c r="J25"/>
  <c r="J22"/>
  <c r="I15"/>
  <c r="K15" s="1"/>
  <c r="I14"/>
  <c r="J13"/>
  <c r="I13"/>
  <c r="K13" s="1"/>
  <c r="J1068" i="34"/>
  <c r="I1068"/>
  <c r="J1067"/>
  <c r="I1067"/>
  <c r="J1065"/>
  <c r="J1064" s="1"/>
  <c r="J193" s="1"/>
  <c r="I1065"/>
  <c r="I1064" s="1"/>
  <c r="J1063"/>
  <c r="I1063"/>
  <c r="J1062"/>
  <c r="I1062"/>
  <c r="J1061"/>
  <c r="I1061"/>
  <c r="J1060"/>
  <c r="I1060"/>
  <c r="J1059"/>
  <c r="I1059"/>
  <c r="J1058"/>
  <c r="I1058"/>
  <c r="J1057"/>
  <c r="I1057"/>
  <c r="J1056"/>
  <c r="I1056"/>
  <c r="J1049"/>
  <c r="I1049"/>
  <c r="J1048"/>
  <c r="I1048"/>
  <c r="J1046"/>
  <c r="J1045" s="1"/>
  <c r="J168" s="1"/>
  <c r="I1046"/>
  <c r="I1045" s="1"/>
  <c r="J1044"/>
  <c r="I1044"/>
  <c r="J1043"/>
  <c r="I1043"/>
  <c r="J1042"/>
  <c r="I1042"/>
  <c r="J1041"/>
  <c r="I1041"/>
  <c r="J1040"/>
  <c r="I1040"/>
  <c r="J1039"/>
  <c r="I1039"/>
  <c r="J1037"/>
  <c r="I1037"/>
  <c r="J1036"/>
  <c r="I1036"/>
  <c r="J1035"/>
  <c r="I1035"/>
  <c r="J1018"/>
  <c r="I1018"/>
  <c r="J1017"/>
  <c r="I1017"/>
  <c r="J1015"/>
  <c r="J1014" s="1"/>
  <c r="J163" s="1"/>
  <c r="I1015"/>
  <c r="I1014" s="1"/>
  <c r="I163" s="1"/>
  <c r="J1013"/>
  <c r="I1013"/>
  <c r="J1012"/>
  <c r="I1012"/>
  <c r="J1011"/>
  <c r="I1011"/>
  <c r="J1010"/>
  <c r="I1010"/>
  <c r="J1009"/>
  <c r="I1009"/>
  <c r="J1008"/>
  <c r="I1008"/>
  <c r="J1006"/>
  <c r="I1006"/>
  <c r="J1005"/>
  <c r="I1005"/>
  <c r="J999"/>
  <c r="J998" s="1"/>
  <c r="J159" s="1"/>
  <c r="I999"/>
  <c r="I998" s="1"/>
  <c r="I159" s="1"/>
  <c r="J997"/>
  <c r="J996" s="1"/>
  <c r="J158" s="1"/>
  <c r="I997"/>
  <c r="I996" s="1"/>
  <c r="J995"/>
  <c r="I995"/>
  <c r="J994"/>
  <c r="I994"/>
  <c r="J993"/>
  <c r="I993"/>
  <c r="J992"/>
  <c r="I992"/>
  <c r="J991"/>
  <c r="I991"/>
  <c r="J975"/>
  <c r="J974" s="1"/>
  <c r="I975"/>
  <c r="I974" s="1"/>
  <c r="I155" s="1"/>
  <c r="J973"/>
  <c r="J972" s="1"/>
  <c r="J154" s="1"/>
  <c r="I973"/>
  <c r="I972" s="1"/>
  <c r="J971"/>
  <c r="I971"/>
  <c r="J970"/>
  <c r="I970"/>
  <c r="J969"/>
  <c r="I969"/>
  <c r="J968"/>
  <c r="I968"/>
  <c r="J967"/>
  <c r="I967"/>
  <c r="J966"/>
  <c r="I966"/>
  <c r="J965"/>
  <c r="I965"/>
  <c r="J964"/>
  <c r="I964"/>
  <c r="J963"/>
  <c r="I963"/>
  <c r="J961"/>
  <c r="J960" s="1"/>
  <c r="J152" s="1"/>
  <c r="I961"/>
  <c r="I960" s="1"/>
  <c r="J954"/>
  <c r="J953" s="1"/>
  <c r="J150" s="1"/>
  <c r="I954"/>
  <c r="I953" s="1"/>
  <c r="J952"/>
  <c r="I952"/>
  <c r="J951"/>
  <c r="I951"/>
  <c r="J950"/>
  <c r="I950"/>
  <c r="J948"/>
  <c r="J947" s="1"/>
  <c r="J148" s="1"/>
  <c r="I948"/>
  <c r="I947" s="1"/>
  <c r="J923"/>
  <c r="I923"/>
  <c r="J922"/>
  <c r="I922"/>
  <c r="J921"/>
  <c r="I921"/>
  <c r="J919"/>
  <c r="J918" s="1"/>
  <c r="J145" s="1"/>
  <c r="I919"/>
  <c r="I918" s="1"/>
  <c r="J917"/>
  <c r="I917"/>
  <c r="J916"/>
  <c r="I916"/>
  <c r="J915"/>
  <c r="I915"/>
  <c r="J914"/>
  <c r="I914"/>
  <c r="J913"/>
  <c r="I913"/>
  <c r="J911"/>
  <c r="I911"/>
  <c r="J910"/>
  <c r="I910"/>
  <c r="J909"/>
  <c r="I909"/>
  <c r="J908"/>
  <c r="I908"/>
  <c r="J907"/>
  <c r="I907"/>
  <c r="J906"/>
  <c r="I906"/>
  <c r="J888"/>
  <c r="J887" s="1"/>
  <c r="J42" s="1"/>
  <c r="I888"/>
  <c r="I887" s="1"/>
  <c r="I42" s="1"/>
  <c r="J886"/>
  <c r="J885" s="1"/>
  <c r="J41" s="1"/>
  <c r="I886"/>
  <c r="I885" s="1"/>
  <c r="J884"/>
  <c r="I884"/>
  <c r="J883"/>
  <c r="I883"/>
  <c r="J882"/>
  <c r="I882"/>
  <c r="J881"/>
  <c r="I881"/>
  <c r="J880"/>
  <c r="I880"/>
  <c r="J878"/>
  <c r="J877" s="1"/>
  <c r="J39" s="1"/>
  <c r="I878"/>
  <c r="I877" s="1"/>
  <c r="J872"/>
  <c r="I872"/>
  <c r="J871"/>
  <c r="I871"/>
  <c r="J869"/>
  <c r="J868" s="1"/>
  <c r="J34" s="1"/>
  <c r="I869"/>
  <c r="I868" s="1"/>
  <c r="I34" s="1"/>
  <c r="J867"/>
  <c r="I867"/>
  <c r="J866"/>
  <c r="I866"/>
  <c r="J865"/>
  <c r="I865"/>
  <c r="J864"/>
  <c r="I864"/>
  <c r="J863"/>
  <c r="I863"/>
  <c r="J862"/>
  <c r="I862"/>
  <c r="J844"/>
  <c r="I844"/>
  <c r="J843"/>
  <c r="I843"/>
  <c r="J841"/>
  <c r="J840" s="1"/>
  <c r="J22" s="1"/>
  <c r="I841"/>
  <c r="I840" s="1"/>
  <c r="I22" s="1"/>
  <c r="J839"/>
  <c r="I839"/>
  <c r="J838"/>
  <c r="I838"/>
  <c r="J837"/>
  <c r="I837"/>
  <c r="J836"/>
  <c r="I836"/>
  <c r="J830"/>
  <c r="I830"/>
  <c r="J829"/>
  <c r="I829"/>
  <c r="J827"/>
  <c r="J826" s="1"/>
  <c r="J18" s="1"/>
  <c r="I827"/>
  <c r="I826" s="1"/>
  <c r="J825"/>
  <c r="I825"/>
  <c r="J824"/>
  <c r="I824"/>
  <c r="J823"/>
  <c r="I823"/>
  <c r="J822"/>
  <c r="I822"/>
  <c r="J821"/>
  <c r="I821"/>
  <c r="J820"/>
  <c r="I820"/>
  <c r="J804"/>
  <c r="J803" s="1"/>
  <c r="J190" s="1"/>
  <c r="I804"/>
  <c r="I803" s="1"/>
  <c r="J802"/>
  <c r="I802"/>
  <c r="J801"/>
  <c r="I801"/>
  <c r="J800"/>
  <c r="I800"/>
  <c r="J793"/>
  <c r="I793"/>
  <c r="J792"/>
  <c r="I792"/>
  <c r="J790"/>
  <c r="J789" s="1"/>
  <c r="J186" s="1"/>
  <c r="I790"/>
  <c r="I789" s="1"/>
  <c r="J788"/>
  <c r="I788"/>
  <c r="J787"/>
  <c r="I787"/>
  <c r="J786"/>
  <c r="I786"/>
  <c r="J785"/>
  <c r="I785"/>
  <c r="J784"/>
  <c r="I784"/>
  <c r="J783"/>
  <c r="I783"/>
  <c r="J767"/>
  <c r="I767"/>
  <c r="J766"/>
  <c r="I766"/>
  <c r="J765"/>
  <c r="I765"/>
  <c r="J763"/>
  <c r="J762" s="1"/>
  <c r="J178" s="1"/>
  <c r="I763"/>
  <c r="I762" s="1"/>
  <c r="J761"/>
  <c r="I761"/>
  <c r="J760"/>
  <c r="I760"/>
  <c r="J759"/>
  <c r="I759"/>
  <c r="J758"/>
  <c r="I758"/>
  <c r="J757"/>
  <c r="I757"/>
  <c r="J756"/>
  <c r="I756"/>
  <c r="J755"/>
  <c r="I755"/>
  <c r="J754"/>
  <c r="I754"/>
  <c r="J753"/>
  <c r="I753"/>
  <c r="J738"/>
  <c r="J737" s="1"/>
  <c r="J118" s="1"/>
  <c r="I738"/>
  <c r="I737" s="1"/>
  <c r="I118" s="1"/>
  <c r="J736"/>
  <c r="I736"/>
  <c r="J735"/>
  <c r="I735"/>
  <c r="J734"/>
  <c r="I734"/>
  <c r="J733"/>
  <c r="I733"/>
  <c r="J732"/>
  <c r="I732"/>
  <c r="J731"/>
  <c r="I731"/>
  <c r="J725"/>
  <c r="J724" s="1"/>
  <c r="J113" s="1"/>
  <c r="I725"/>
  <c r="I724" s="1"/>
  <c r="I113" s="1"/>
  <c r="J723"/>
  <c r="I723"/>
  <c r="J722"/>
  <c r="I722"/>
  <c r="J721"/>
  <c r="I721"/>
  <c r="J715"/>
  <c r="I715"/>
  <c r="J714"/>
  <c r="I714"/>
  <c r="J712"/>
  <c r="I712"/>
  <c r="J711"/>
  <c r="I711"/>
  <c r="J710"/>
  <c r="I710"/>
  <c r="J709"/>
  <c r="I709"/>
  <c r="J693"/>
  <c r="I693"/>
  <c r="J692"/>
  <c r="I692"/>
  <c r="J686"/>
  <c r="J685" s="1"/>
  <c r="J31" s="1"/>
  <c r="I686"/>
  <c r="I685" s="1"/>
  <c r="I31" s="1"/>
  <c r="J684"/>
  <c r="J683" s="1"/>
  <c r="J30" s="1"/>
  <c r="I684"/>
  <c r="I683" s="1"/>
  <c r="I30" s="1"/>
  <c r="J682"/>
  <c r="I682"/>
  <c r="J681"/>
  <c r="I681"/>
  <c r="J680"/>
  <c r="I680"/>
  <c r="J679"/>
  <c r="I679"/>
  <c r="J678"/>
  <c r="I678"/>
  <c r="J672"/>
  <c r="J671" s="1"/>
  <c r="J15" s="1"/>
  <c r="I672"/>
  <c r="I671" s="1"/>
  <c r="I15" s="1"/>
  <c r="J670"/>
  <c r="J669" s="1"/>
  <c r="I670"/>
  <c r="I669" s="1"/>
  <c r="I14" s="1"/>
  <c r="J668"/>
  <c r="I668"/>
  <c r="J667"/>
  <c r="I667"/>
  <c r="J666"/>
  <c r="I666"/>
  <c r="J665"/>
  <c r="I665"/>
  <c r="J636"/>
  <c r="I636"/>
  <c r="J635"/>
  <c r="I635"/>
  <c r="J633"/>
  <c r="J632" s="1"/>
  <c r="J182" s="1"/>
  <c r="I633"/>
  <c r="I632" s="1"/>
  <c r="I182" s="1"/>
  <c r="J631"/>
  <c r="I631"/>
  <c r="J630"/>
  <c r="I630"/>
  <c r="J629"/>
  <c r="I629"/>
  <c r="J628"/>
  <c r="I628"/>
  <c r="J627"/>
  <c r="I627"/>
  <c r="J626"/>
  <c r="I626"/>
  <c r="K611"/>
  <c r="K610"/>
  <c r="K608"/>
  <c r="J607"/>
  <c r="I607"/>
  <c r="J606"/>
  <c r="I606"/>
  <c r="J605"/>
  <c r="I605"/>
  <c r="J604"/>
  <c r="I604"/>
  <c r="J603"/>
  <c r="I603"/>
  <c r="J602"/>
  <c r="I602"/>
  <c r="J601"/>
  <c r="I601"/>
  <c r="J600"/>
  <c r="I600"/>
  <c r="J599"/>
  <c r="I599"/>
  <c r="J598"/>
  <c r="I598"/>
  <c r="J597"/>
  <c r="I597"/>
  <c r="J595"/>
  <c r="I595"/>
  <c r="J594"/>
  <c r="I594"/>
  <c r="J592"/>
  <c r="J591" s="1"/>
  <c r="J172" s="1"/>
  <c r="I592"/>
  <c r="I591" s="1"/>
  <c r="J590"/>
  <c r="I590"/>
  <c r="J589"/>
  <c r="I589"/>
  <c r="J588"/>
  <c r="I588"/>
  <c r="J587"/>
  <c r="I587"/>
  <c r="J586"/>
  <c r="I586"/>
  <c r="J571"/>
  <c r="I571"/>
  <c r="J570"/>
  <c r="I570"/>
  <c r="J568"/>
  <c r="J567" s="1"/>
  <c r="J140" s="1"/>
  <c r="I568"/>
  <c r="I567" s="1"/>
  <c r="J566"/>
  <c r="I566"/>
  <c r="J565"/>
  <c r="I565"/>
  <c r="J564"/>
  <c r="I564"/>
  <c r="J563"/>
  <c r="I563"/>
  <c r="J562"/>
  <c r="I562"/>
  <c r="J561"/>
  <c r="I561"/>
  <c r="J560"/>
  <c r="I560"/>
  <c r="J559"/>
  <c r="I559"/>
  <c r="J557"/>
  <c r="I557"/>
  <c r="J556"/>
  <c r="I556"/>
  <c r="J555"/>
  <c r="I555"/>
  <c r="J554"/>
  <c r="I554"/>
  <c r="J539"/>
  <c r="I539"/>
  <c r="J538"/>
  <c r="I538"/>
  <c r="J537"/>
  <c r="I537"/>
  <c r="J536"/>
  <c r="I536"/>
  <c r="J535"/>
  <c r="I535"/>
  <c r="J534"/>
  <c r="I534"/>
  <c r="J533"/>
  <c r="I533"/>
  <c r="J532"/>
  <c r="I532"/>
  <c r="J526"/>
  <c r="J525" s="1"/>
  <c r="J107" s="1"/>
  <c r="I526"/>
  <c r="I525" s="1"/>
  <c r="I107" s="1"/>
  <c r="K525"/>
  <c r="J524"/>
  <c r="I524"/>
  <c r="J523"/>
  <c r="I523"/>
  <c r="J522"/>
  <c r="I522"/>
  <c r="J507"/>
  <c r="I507"/>
  <c r="J506"/>
  <c r="I506"/>
  <c r="J505"/>
  <c r="I505"/>
  <c r="J504"/>
  <c r="I504"/>
  <c r="J502"/>
  <c r="J501" s="1"/>
  <c r="J103" s="1"/>
  <c r="I502"/>
  <c r="I501" s="1"/>
  <c r="I103" s="1"/>
  <c r="J500"/>
  <c r="I500"/>
  <c r="J499"/>
  <c r="I499"/>
  <c r="J498"/>
  <c r="I498"/>
  <c r="J497"/>
  <c r="I497"/>
  <c r="J496"/>
  <c r="I496"/>
  <c r="J495"/>
  <c r="I495"/>
  <c r="J494"/>
  <c r="I494"/>
  <c r="J493"/>
  <c r="I493"/>
  <c r="J492"/>
  <c r="I492"/>
  <c r="J491"/>
  <c r="I491"/>
  <c r="J489"/>
  <c r="J488" s="1"/>
  <c r="I489"/>
  <c r="I488" s="1"/>
  <c r="J474"/>
  <c r="I474"/>
  <c r="J473"/>
  <c r="I473"/>
  <c r="J472"/>
  <c r="I472"/>
  <c r="J471"/>
  <c r="I471"/>
  <c r="J469"/>
  <c r="J468" s="1"/>
  <c r="J98" s="1"/>
  <c r="I469"/>
  <c r="I468" s="1"/>
  <c r="J463"/>
  <c r="J462" s="1"/>
  <c r="J96" s="1"/>
  <c r="I463"/>
  <c r="I462" s="1"/>
  <c r="I96" s="1"/>
  <c r="K462"/>
  <c r="J461"/>
  <c r="J460" s="1"/>
  <c r="J95" s="1"/>
  <c r="I461"/>
  <c r="I460" s="1"/>
  <c r="I95" s="1"/>
  <c r="J459"/>
  <c r="I459"/>
  <c r="J458"/>
  <c r="I458"/>
  <c r="J457"/>
  <c r="I457"/>
  <c r="J456"/>
  <c r="I456"/>
  <c r="J455"/>
  <c r="I455"/>
  <c r="J440"/>
  <c r="I440"/>
  <c r="J439"/>
  <c r="I439"/>
  <c r="J438"/>
  <c r="I438"/>
  <c r="J437"/>
  <c r="I437"/>
  <c r="J435"/>
  <c r="J434" s="1"/>
  <c r="J91" s="1"/>
  <c r="I435"/>
  <c r="I434" s="1"/>
  <c r="I91" s="1"/>
  <c r="J433"/>
  <c r="I433"/>
  <c r="J432"/>
  <c r="I432"/>
  <c r="J431"/>
  <c r="I431"/>
  <c r="J430"/>
  <c r="I430"/>
  <c r="J429"/>
  <c r="I429"/>
  <c r="J428"/>
  <c r="I428"/>
  <c r="J427"/>
  <c r="I427"/>
  <c r="J426"/>
  <c r="I426"/>
  <c r="J425"/>
  <c r="I425"/>
  <c r="J424"/>
  <c r="I424"/>
  <c r="J422"/>
  <c r="J421" s="1"/>
  <c r="I422"/>
  <c r="I421" s="1"/>
  <c r="I89" s="1"/>
  <c r="J407"/>
  <c r="J406" s="1"/>
  <c r="J87" s="1"/>
  <c r="I407"/>
  <c r="I406" s="1"/>
  <c r="I87" s="1"/>
  <c r="J405"/>
  <c r="J404" s="1"/>
  <c r="J86" s="1"/>
  <c r="I405"/>
  <c r="I404" s="1"/>
  <c r="I86" s="1"/>
  <c r="J403"/>
  <c r="I403"/>
  <c r="J402"/>
  <c r="I402"/>
  <c r="J401"/>
  <c r="I401"/>
  <c r="J399"/>
  <c r="J398" s="1"/>
  <c r="J84" s="1"/>
  <c r="I399"/>
  <c r="I398" s="1"/>
  <c r="J393"/>
  <c r="I393"/>
  <c r="J392"/>
  <c r="I392"/>
  <c r="K391"/>
  <c r="J390"/>
  <c r="J389" s="1"/>
  <c r="J81" s="1"/>
  <c r="I390"/>
  <c r="I389" s="1"/>
  <c r="J388"/>
  <c r="I388"/>
  <c r="J387"/>
  <c r="I387"/>
  <c r="J386"/>
  <c r="I386"/>
  <c r="J385"/>
  <c r="I385"/>
  <c r="J384"/>
  <c r="I384"/>
  <c r="J368"/>
  <c r="J367" s="1"/>
  <c r="J78" s="1"/>
  <c r="I368"/>
  <c r="I367" s="1"/>
  <c r="I78" s="1"/>
  <c r="J366"/>
  <c r="J365" s="1"/>
  <c r="J77" s="1"/>
  <c r="I366"/>
  <c r="I365" s="1"/>
  <c r="J364"/>
  <c r="I364"/>
  <c r="J363"/>
  <c r="I363"/>
  <c r="J362"/>
  <c r="I362"/>
  <c r="J361"/>
  <c r="I361"/>
  <c r="J360"/>
  <c r="I360"/>
  <c r="J359"/>
  <c r="I359"/>
  <c r="J358"/>
  <c r="I358"/>
  <c r="J357"/>
  <c r="I357"/>
  <c r="J356"/>
  <c r="I356"/>
  <c r="J355"/>
  <c r="I355"/>
  <c r="J353"/>
  <c r="J352" s="1"/>
  <c r="J75" s="1"/>
  <c r="I353"/>
  <c r="I352" s="1"/>
  <c r="I75" s="1"/>
  <c r="J337"/>
  <c r="J336" s="1"/>
  <c r="I337"/>
  <c r="I336" s="1"/>
  <c r="J335"/>
  <c r="I335"/>
  <c r="J334"/>
  <c r="I334"/>
  <c r="J333"/>
  <c r="I333"/>
  <c r="J327"/>
  <c r="J326" s="1"/>
  <c r="I327"/>
  <c r="I326" s="1"/>
  <c r="I58" s="1"/>
  <c r="J325"/>
  <c r="I325"/>
  <c r="J324"/>
  <c r="I324"/>
  <c r="J323"/>
  <c r="I323"/>
  <c r="J322"/>
  <c r="I322"/>
  <c r="J321"/>
  <c r="I321"/>
  <c r="J319"/>
  <c r="J318" s="1"/>
  <c r="J56" s="1"/>
  <c r="I319"/>
  <c r="I318" s="1"/>
  <c r="I56" s="1"/>
  <c r="K303"/>
  <c r="J302"/>
  <c r="J54" s="1"/>
  <c r="I302"/>
  <c r="K301"/>
  <c r="K300"/>
  <c r="J299"/>
  <c r="I299"/>
  <c r="K298"/>
  <c r="K297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I285"/>
  <c r="J279"/>
  <c r="J278" s="1"/>
  <c r="J27" s="1"/>
  <c r="I279"/>
  <c r="I278" s="1"/>
  <c r="I27" s="1"/>
  <c r="K278"/>
  <c r="J277"/>
  <c r="I277"/>
  <c r="J276"/>
  <c r="I276"/>
  <c r="J275"/>
  <c r="I275"/>
  <c r="J274"/>
  <c r="I274"/>
  <c r="J273"/>
  <c r="I273"/>
  <c r="J272"/>
  <c r="I272"/>
  <c r="J271"/>
  <c r="I271"/>
  <c r="J270"/>
  <c r="I270"/>
  <c r="J267"/>
  <c r="J25" s="1"/>
  <c r="I267"/>
  <c r="I25" s="1"/>
  <c r="K251"/>
  <c r="K250"/>
  <c r="J249"/>
  <c r="J48" s="1"/>
  <c r="I249"/>
  <c r="K248"/>
  <c r="K247"/>
  <c r="J246"/>
  <c r="I246"/>
  <c r="K244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I231"/>
  <c r="I230"/>
  <c r="J221"/>
  <c r="J220" s="1"/>
  <c r="J123" s="1"/>
  <c r="I221"/>
  <c r="I220" s="1"/>
  <c r="K219"/>
  <c r="K218"/>
  <c r="J216"/>
  <c r="I216"/>
  <c r="J214"/>
  <c r="I214"/>
  <c r="J212"/>
  <c r="J211" s="1"/>
  <c r="J120" s="1"/>
  <c r="I212"/>
  <c r="I211" s="1"/>
  <c r="J175"/>
  <c r="I175"/>
  <c r="J122"/>
  <c r="I122"/>
  <c r="J53"/>
  <c r="I53"/>
  <c r="J51"/>
  <c r="I51"/>
  <c r="J47"/>
  <c r="I47"/>
  <c r="J45"/>
  <c r="I45"/>
  <c r="J14"/>
  <c r="G131" i="30"/>
  <c r="H131"/>
  <c r="K302" i="36" l="1"/>
  <c r="J472"/>
  <c r="I488"/>
  <c r="J598"/>
  <c r="J824"/>
  <c r="J179" s="1"/>
  <c r="J919"/>
  <c r="J33" s="1"/>
  <c r="J976"/>
  <c r="J146" s="1"/>
  <c r="J1008"/>
  <c r="J153" s="1"/>
  <c r="I1026"/>
  <c r="I157" s="1"/>
  <c r="I1053"/>
  <c r="I162" s="1"/>
  <c r="J213"/>
  <c r="K113" i="34"/>
  <c r="J1038"/>
  <c r="J167" s="1"/>
  <c r="I1055"/>
  <c r="J720"/>
  <c r="J782"/>
  <c r="J185" s="1"/>
  <c r="I634"/>
  <c r="I183" s="1"/>
  <c r="I1016"/>
  <c r="I164" s="1"/>
  <c r="I1034"/>
  <c r="I166" s="1"/>
  <c r="K246"/>
  <c r="K249"/>
  <c r="K302"/>
  <c r="J269" i="36"/>
  <c r="J26" s="1"/>
  <c r="J431"/>
  <c r="J90" s="1"/>
  <c r="I1110"/>
  <c r="K1110" s="1"/>
  <c r="J1110"/>
  <c r="J194" s="1"/>
  <c r="I1099"/>
  <c r="I192" s="1"/>
  <c r="I961"/>
  <c r="I143" s="1"/>
  <c r="I976"/>
  <c r="K976" s="1"/>
  <c r="J387"/>
  <c r="J80" s="1"/>
  <c r="I395"/>
  <c r="I82" s="1"/>
  <c r="J609"/>
  <c r="J141" s="1"/>
  <c r="I737"/>
  <c r="I29" s="1"/>
  <c r="J842"/>
  <c r="J185" s="1"/>
  <c r="J859"/>
  <c r="K239"/>
  <c r="J812"/>
  <c r="J177" s="1"/>
  <c r="I609"/>
  <c r="I141" s="1"/>
  <c r="J1092"/>
  <c r="J169" s="1"/>
  <c r="I598"/>
  <c r="I139" s="1"/>
  <c r="J1026"/>
  <c r="J157" s="1"/>
  <c r="J156" s="1"/>
  <c r="J46"/>
  <c r="J228"/>
  <c r="K652"/>
  <c r="J780"/>
  <c r="J112" s="1"/>
  <c r="J111" s="1"/>
  <c r="J888"/>
  <c r="J19" s="1"/>
  <c r="K19" s="1"/>
  <c r="I928"/>
  <c r="I35" s="1"/>
  <c r="J937"/>
  <c r="J934" s="1"/>
  <c r="J961"/>
  <c r="J143" s="1"/>
  <c r="K143" s="1"/>
  <c r="J986"/>
  <c r="J149" s="1"/>
  <c r="J1099"/>
  <c r="K95"/>
  <c r="I522"/>
  <c r="I104" s="1"/>
  <c r="K104" s="1"/>
  <c r="K784"/>
  <c r="I902"/>
  <c r="I23" s="1"/>
  <c r="I919"/>
  <c r="I33" s="1"/>
  <c r="K47"/>
  <c r="K145"/>
  <c r="K172"/>
  <c r="K54"/>
  <c r="K31"/>
  <c r="K152"/>
  <c r="K168"/>
  <c r="I52"/>
  <c r="J106"/>
  <c r="I140"/>
  <c r="I269"/>
  <c r="I26" s="1"/>
  <c r="J344"/>
  <c r="K81"/>
  <c r="J395"/>
  <c r="J82" s="1"/>
  <c r="J509"/>
  <c r="J102" s="1"/>
  <c r="J646"/>
  <c r="J173" s="1"/>
  <c r="I686"/>
  <c r="I181" s="1"/>
  <c r="K181" s="1"/>
  <c r="I695"/>
  <c r="I183" s="1"/>
  <c r="I724"/>
  <c r="I13" s="1"/>
  <c r="I780"/>
  <c r="J790"/>
  <c r="J789" s="1"/>
  <c r="I842"/>
  <c r="I185" s="1"/>
  <c r="I859"/>
  <c r="I189" s="1"/>
  <c r="J879"/>
  <c r="I895"/>
  <c r="I21" s="1"/>
  <c r="I968"/>
  <c r="I144" s="1"/>
  <c r="J1079"/>
  <c r="J166" s="1"/>
  <c r="J1083"/>
  <c r="J167" s="1"/>
  <c r="K27"/>
  <c r="I344"/>
  <c r="I404"/>
  <c r="I85" s="1"/>
  <c r="I649"/>
  <c r="I174" s="1"/>
  <c r="J686"/>
  <c r="J181" s="1"/>
  <c r="I751"/>
  <c r="I37" s="1"/>
  <c r="I36" s="1"/>
  <c r="J895"/>
  <c r="J21" s="1"/>
  <c r="I1050"/>
  <c r="K1050" s="1"/>
  <c r="I1062"/>
  <c r="I164" s="1"/>
  <c r="I1079"/>
  <c r="K984"/>
  <c r="I148"/>
  <c r="K148" s="1"/>
  <c r="J779"/>
  <c r="K990"/>
  <c r="I150"/>
  <c r="K150" s="1"/>
  <c r="I158"/>
  <c r="K158" s="1"/>
  <c r="K886"/>
  <c r="I18"/>
  <c r="I16" s="1"/>
  <c r="J39"/>
  <c r="K39" s="1"/>
  <c r="K935"/>
  <c r="J471"/>
  <c r="J94"/>
  <c r="J93" s="1"/>
  <c r="K743"/>
  <c r="K155"/>
  <c r="K163"/>
  <c r="K14"/>
  <c r="K42"/>
  <c r="K51"/>
  <c r="J52"/>
  <c r="K87"/>
  <c r="K175"/>
  <c r="K178"/>
  <c r="K182"/>
  <c r="I213"/>
  <c r="K249"/>
  <c r="K267"/>
  <c r="K91"/>
  <c r="K96"/>
  <c r="J638"/>
  <c r="J751"/>
  <c r="I773"/>
  <c r="I110" s="1"/>
  <c r="K974"/>
  <c r="J983"/>
  <c r="K1020"/>
  <c r="K1034"/>
  <c r="K1090"/>
  <c r="K159"/>
  <c r="K41"/>
  <c r="J121"/>
  <c r="I154"/>
  <c r="K154" s="1"/>
  <c r="I194"/>
  <c r="K194" s="1"/>
  <c r="I229"/>
  <c r="K229" s="1"/>
  <c r="J404"/>
  <c r="J85" s="1"/>
  <c r="J83" s="1"/>
  <c r="I444"/>
  <c r="J488"/>
  <c r="J99" s="1"/>
  <c r="J97" s="1"/>
  <c r="I550"/>
  <c r="I106" s="1"/>
  <c r="I638"/>
  <c r="I171" s="1"/>
  <c r="K644"/>
  <c r="I646"/>
  <c r="I173" s="1"/>
  <c r="J737"/>
  <c r="J773"/>
  <c r="J110" s="1"/>
  <c r="I812"/>
  <c r="I177" s="1"/>
  <c r="K822"/>
  <c r="I824"/>
  <c r="I851"/>
  <c r="I187" s="1"/>
  <c r="J902"/>
  <c r="J928"/>
  <c r="J35" s="1"/>
  <c r="K35" s="1"/>
  <c r="I937"/>
  <c r="I40" s="1"/>
  <c r="I38" s="1"/>
  <c r="K945"/>
  <c r="K1006"/>
  <c r="I1008"/>
  <c r="I153" s="1"/>
  <c r="J1053"/>
  <c r="K1053" s="1"/>
  <c r="I1083"/>
  <c r="I167" s="1"/>
  <c r="I1092"/>
  <c r="K408"/>
  <c r="K34"/>
  <c r="K48"/>
  <c r="I60"/>
  <c r="K60" s="1"/>
  <c r="I86"/>
  <c r="K86" s="1"/>
  <c r="K118"/>
  <c r="I161"/>
  <c r="K161" s="1"/>
  <c r="I193"/>
  <c r="K193" s="1"/>
  <c r="K312"/>
  <c r="K75"/>
  <c r="K797"/>
  <c r="J851"/>
  <c r="J187" s="1"/>
  <c r="J184" s="1"/>
  <c r="J968"/>
  <c r="J144" s="1"/>
  <c r="I986"/>
  <c r="I149" s="1"/>
  <c r="K149" s="1"/>
  <c r="J1062"/>
  <c r="J164" s="1"/>
  <c r="K863"/>
  <c r="I858"/>
  <c r="I190"/>
  <c r="K190" s="1"/>
  <c r="J858"/>
  <c r="J189"/>
  <c r="J188" s="1"/>
  <c r="K328"/>
  <c r="J58"/>
  <c r="K58" s="1"/>
  <c r="I15"/>
  <c r="K15" s="1"/>
  <c r="K731"/>
  <c r="K849"/>
  <c r="I186"/>
  <c r="K186" s="1"/>
  <c r="I138"/>
  <c r="K522"/>
  <c r="K45"/>
  <c r="K53"/>
  <c r="K103"/>
  <c r="I113"/>
  <c r="K113" s="1"/>
  <c r="J139"/>
  <c r="K246"/>
  <c r="I294"/>
  <c r="I50" s="1"/>
  <c r="I49" s="1"/>
  <c r="J294"/>
  <c r="K309"/>
  <c r="J343"/>
  <c r="J61" s="1"/>
  <c r="J59" s="1"/>
  <c r="K369"/>
  <c r="K393"/>
  <c r="K609"/>
  <c r="K107"/>
  <c r="I779"/>
  <c r="I24"/>
  <c r="I30"/>
  <c r="J44"/>
  <c r="J43" s="1"/>
  <c r="J105"/>
  <c r="J322"/>
  <c r="J57" s="1"/>
  <c r="I356"/>
  <c r="K367"/>
  <c r="I431"/>
  <c r="K442"/>
  <c r="J444"/>
  <c r="J92" s="1"/>
  <c r="I472"/>
  <c r="I94" s="1"/>
  <c r="I93" s="1"/>
  <c r="J560"/>
  <c r="J695"/>
  <c r="J183" s="1"/>
  <c r="J768"/>
  <c r="K768" s="1"/>
  <c r="J24"/>
  <c r="K77"/>
  <c r="K25"/>
  <c r="I46"/>
  <c r="K46" s="1"/>
  <c r="K78"/>
  <c r="K122"/>
  <c r="J266"/>
  <c r="I322"/>
  <c r="I57" s="1"/>
  <c r="I55" s="1"/>
  <c r="J356"/>
  <c r="J76" s="1"/>
  <c r="J74" s="1"/>
  <c r="I387"/>
  <c r="I80" s="1"/>
  <c r="I79" s="1"/>
  <c r="J593"/>
  <c r="J138" s="1"/>
  <c r="J649"/>
  <c r="J174" s="1"/>
  <c r="J724"/>
  <c r="K724" s="1"/>
  <c r="K33" i="35"/>
  <c r="I888"/>
  <c r="I17" s="1"/>
  <c r="I911"/>
  <c r="I23" s="1"/>
  <c r="K23" s="1"/>
  <c r="I974"/>
  <c r="K974" s="1"/>
  <c r="J1076"/>
  <c r="I939"/>
  <c r="I35" s="1"/>
  <c r="K35" s="1"/>
  <c r="J948"/>
  <c r="J40" s="1"/>
  <c r="I989"/>
  <c r="I146" s="1"/>
  <c r="K146" s="1"/>
  <c r="I1031"/>
  <c r="I153" s="1"/>
  <c r="J1116"/>
  <c r="J169" s="1"/>
  <c r="J32"/>
  <c r="J1107"/>
  <c r="J167" s="1"/>
  <c r="K1016"/>
  <c r="I148"/>
  <c r="K148" s="1"/>
  <c r="K1041"/>
  <c r="I154"/>
  <c r="K154" s="1"/>
  <c r="K141"/>
  <c r="K747"/>
  <c r="I29"/>
  <c r="J851"/>
  <c r="J195"/>
  <c r="J194" s="1"/>
  <c r="J201"/>
  <c r="J12"/>
  <c r="I21"/>
  <c r="K153"/>
  <c r="J151"/>
  <c r="K338"/>
  <c r="K834"/>
  <c r="K86"/>
  <c r="K753"/>
  <c r="K1067"/>
  <c r="I1107"/>
  <c r="I167" s="1"/>
  <c r="J109"/>
  <c r="K109" s="1"/>
  <c r="J24"/>
  <c r="I304"/>
  <c r="K377"/>
  <c r="K517"/>
  <c r="K164"/>
  <c r="K1135"/>
  <c r="K159"/>
  <c r="K909"/>
  <c r="J23"/>
  <c r="J29"/>
  <c r="J28" s="1"/>
  <c r="K113"/>
  <c r="I152"/>
  <c r="K152" s="1"/>
  <c r="J156"/>
  <c r="I178"/>
  <c r="K178" s="1"/>
  <c r="K25"/>
  <c r="I354"/>
  <c r="K358"/>
  <c r="I405"/>
  <c r="I82" s="1"/>
  <c r="K91"/>
  <c r="J603"/>
  <c r="J138" s="1"/>
  <c r="I656"/>
  <c r="I783"/>
  <c r="I790"/>
  <c r="K794"/>
  <c r="K946"/>
  <c r="K954"/>
  <c r="K956"/>
  <c r="I1059"/>
  <c r="K179"/>
  <c r="I22"/>
  <c r="K22" s="1"/>
  <c r="I30"/>
  <c r="K53"/>
  <c r="K118"/>
  <c r="K249"/>
  <c r="J46"/>
  <c r="K322"/>
  <c r="J354"/>
  <c r="J353" s="1"/>
  <c r="J61" s="1"/>
  <c r="K78"/>
  <c r="J397"/>
  <c r="I648"/>
  <c r="I171" s="1"/>
  <c r="K171" s="1"/>
  <c r="J656"/>
  <c r="J173" s="1"/>
  <c r="J659"/>
  <c r="J174" s="1"/>
  <c r="I696"/>
  <c r="I191" s="1"/>
  <c r="K191" s="1"/>
  <c r="J761"/>
  <c r="J800"/>
  <c r="J117" s="1"/>
  <c r="J116" s="1"/>
  <c r="I852"/>
  <c r="I195" s="1"/>
  <c r="K195" s="1"/>
  <c r="I861"/>
  <c r="J888"/>
  <c r="K895"/>
  <c r="J897"/>
  <c r="J19" s="1"/>
  <c r="K19" s="1"/>
  <c r="J981"/>
  <c r="K981" s="1"/>
  <c r="I1018"/>
  <c r="I1073"/>
  <c r="K420"/>
  <c r="I87"/>
  <c r="K87" s="1"/>
  <c r="K617"/>
  <c r="I140"/>
  <c r="K140" s="1"/>
  <c r="J559"/>
  <c r="J106"/>
  <c r="J105" s="1"/>
  <c r="K703"/>
  <c r="I192"/>
  <c r="K403"/>
  <c r="I81"/>
  <c r="K81" s="1"/>
  <c r="J139"/>
  <c r="J396"/>
  <c r="J80"/>
  <c r="J79" s="1"/>
  <c r="K656"/>
  <c r="K47"/>
  <c r="J60"/>
  <c r="J59" s="1"/>
  <c r="K82"/>
  <c r="K96"/>
  <c r="K98"/>
  <c r="I173"/>
  <c r="K173" s="1"/>
  <c r="J363"/>
  <c r="K412"/>
  <c r="J414"/>
  <c r="J85" s="1"/>
  <c r="K85" s="1"/>
  <c r="J481"/>
  <c r="K488"/>
  <c r="J516"/>
  <c r="K603"/>
  <c r="K619"/>
  <c r="J190"/>
  <c r="I495"/>
  <c r="K48"/>
  <c r="I58"/>
  <c r="K58" s="1"/>
  <c r="J77"/>
  <c r="K77" s="1"/>
  <c r="I172"/>
  <c r="K172" s="1"/>
  <c r="J223"/>
  <c r="K223" s="1"/>
  <c r="J276"/>
  <c r="K330"/>
  <c r="J332"/>
  <c r="J57" s="1"/>
  <c r="J55" s="1"/>
  <c r="I482"/>
  <c r="I94" s="1"/>
  <c r="I93" s="1"/>
  <c r="J498"/>
  <c r="J99" s="1"/>
  <c r="K99" s="1"/>
  <c r="I519"/>
  <c r="K530"/>
  <c r="I532"/>
  <c r="K498"/>
  <c r="I659"/>
  <c r="I174" s="1"/>
  <c r="K174" s="1"/>
  <c r="J43"/>
  <c r="K46"/>
  <c r="K54"/>
  <c r="K259"/>
  <c r="J304"/>
  <c r="K304" s="1"/>
  <c r="K319"/>
  <c r="K418"/>
  <c r="K439"/>
  <c r="K452"/>
  <c r="J570"/>
  <c r="J1047" i="34"/>
  <c r="J169" s="1"/>
  <c r="K45"/>
  <c r="J1055"/>
  <c r="J192" s="1"/>
  <c r="I383"/>
  <c r="I80" s="1"/>
  <c r="J391"/>
  <c r="J82" s="1"/>
  <c r="J1034"/>
  <c r="J166" s="1"/>
  <c r="J213"/>
  <c r="J210" s="1"/>
  <c r="I54"/>
  <c r="K54" s="1"/>
  <c r="J46"/>
  <c r="J269"/>
  <c r="J26" s="1"/>
  <c r="J24" s="1"/>
  <c r="I391"/>
  <c r="I82" s="1"/>
  <c r="I400"/>
  <c r="I85" s="1"/>
  <c r="J585"/>
  <c r="J171" s="1"/>
  <c r="I625"/>
  <c r="I181" s="1"/>
  <c r="J764"/>
  <c r="J179" s="1"/>
  <c r="J791"/>
  <c r="J187" s="1"/>
  <c r="I213"/>
  <c r="I210" s="1"/>
  <c r="J521"/>
  <c r="J106" s="1"/>
  <c r="J105" s="1"/>
  <c r="K567"/>
  <c r="J625"/>
  <c r="J181" s="1"/>
  <c r="K78"/>
  <c r="J879"/>
  <c r="J40" s="1"/>
  <c r="J38" s="1"/>
  <c r="K96"/>
  <c r="I819"/>
  <c r="I17" s="1"/>
  <c r="I835"/>
  <c r="I21" s="1"/>
  <c r="J284"/>
  <c r="J283" s="1"/>
  <c r="J828"/>
  <c r="J19" s="1"/>
  <c r="I870"/>
  <c r="I35" s="1"/>
  <c r="I912"/>
  <c r="I144" s="1"/>
  <c r="I920"/>
  <c r="I146" s="1"/>
  <c r="K826"/>
  <c r="J949"/>
  <c r="J946" s="1"/>
  <c r="K877"/>
  <c r="J354"/>
  <c r="J76" s="1"/>
  <c r="J74" s="1"/>
  <c r="I691"/>
  <c r="I37" s="1"/>
  <c r="I36" s="1"/>
  <c r="J752"/>
  <c r="J177" s="1"/>
  <c r="I791"/>
  <c r="I187" s="1"/>
  <c r="J842"/>
  <c r="J23" s="1"/>
  <c r="J320"/>
  <c r="J57" s="1"/>
  <c r="K367"/>
  <c r="I454"/>
  <c r="I94" s="1"/>
  <c r="I93" s="1"/>
  <c r="J713"/>
  <c r="J110" s="1"/>
  <c r="I842"/>
  <c r="I23" s="1"/>
  <c r="J870"/>
  <c r="J35" s="1"/>
  <c r="K35" s="1"/>
  <c r="J920"/>
  <c r="J146" s="1"/>
  <c r="J962"/>
  <c r="J153" s="1"/>
  <c r="J990"/>
  <c r="J157" s="1"/>
  <c r="K389"/>
  <c r="K14"/>
  <c r="I990"/>
  <c r="I157" s="1"/>
  <c r="J531"/>
  <c r="K947"/>
  <c r="J60"/>
  <c r="I229"/>
  <c r="I228" s="1"/>
  <c r="I284"/>
  <c r="I283" s="1"/>
  <c r="I39"/>
  <c r="K39" s="1"/>
  <c r="I48"/>
  <c r="K48" s="1"/>
  <c r="I320"/>
  <c r="I317" s="1"/>
  <c r="J332"/>
  <c r="J331" s="1"/>
  <c r="J61" s="1"/>
  <c r="I436"/>
  <c r="I92" s="1"/>
  <c r="J503"/>
  <c r="J104" s="1"/>
  <c r="J553"/>
  <c r="J138" s="1"/>
  <c r="J558"/>
  <c r="J139" s="1"/>
  <c r="I569"/>
  <c r="I141" s="1"/>
  <c r="J593"/>
  <c r="J173" s="1"/>
  <c r="I664"/>
  <c r="I13" s="1"/>
  <c r="I708"/>
  <c r="I109" s="1"/>
  <c r="I730"/>
  <c r="I117" s="1"/>
  <c r="I116" s="1"/>
  <c r="J799"/>
  <c r="J798" s="1"/>
  <c r="I828"/>
  <c r="J861"/>
  <c r="J33" s="1"/>
  <c r="K34"/>
  <c r="J905"/>
  <c r="J143" s="1"/>
  <c r="I1004"/>
  <c r="I161" s="1"/>
  <c r="I1007"/>
  <c r="I162" s="1"/>
  <c r="I1047"/>
  <c r="K182"/>
  <c r="K15"/>
  <c r="I81"/>
  <c r="K81" s="1"/>
  <c r="K53"/>
  <c r="K175"/>
  <c r="K292"/>
  <c r="K86"/>
  <c r="I423"/>
  <c r="I90" s="1"/>
  <c r="J490"/>
  <c r="J102" s="1"/>
  <c r="I531"/>
  <c r="I115" s="1"/>
  <c r="I114" s="1"/>
  <c r="I558"/>
  <c r="I139" s="1"/>
  <c r="K599"/>
  <c r="K671"/>
  <c r="J730"/>
  <c r="J117" s="1"/>
  <c r="J835"/>
  <c r="J21" s="1"/>
  <c r="I879"/>
  <c r="I40" s="1"/>
  <c r="K885"/>
  <c r="I905"/>
  <c r="I143" s="1"/>
  <c r="J1066"/>
  <c r="J1054" s="1"/>
  <c r="K22"/>
  <c r="K30"/>
  <c r="K56"/>
  <c r="K25"/>
  <c r="J52"/>
  <c r="K267"/>
  <c r="K591"/>
  <c r="I172"/>
  <c r="K172" s="1"/>
  <c r="I18"/>
  <c r="I60"/>
  <c r="I140"/>
  <c r="K140" s="1"/>
  <c r="I148"/>
  <c r="K148" s="1"/>
  <c r="I861"/>
  <c r="I33" s="1"/>
  <c r="K972"/>
  <c r="I154"/>
  <c r="K154" s="1"/>
  <c r="I158"/>
  <c r="K158" s="1"/>
  <c r="I168"/>
  <c r="K168" s="1"/>
  <c r="K1045"/>
  <c r="K95"/>
  <c r="K404"/>
  <c r="K918"/>
  <c r="I145"/>
  <c r="K145" s="1"/>
  <c r="K159"/>
  <c r="J470"/>
  <c r="J99" s="1"/>
  <c r="J97" s="1"/>
  <c r="I593"/>
  <c r="I596"/>
  <c r="I174" s="1"/>
  <c r="J634"/>
  <c r="J183" s="1"/>
  <c r="J664"/>
  <c r="I677"/>
  <c r="J708"/>
  <c r="J109" s="1"/>
  <c r="I782"/>
  <c r="I799"/>
  <c r="I798" s="1"/>
  <c r="K998"/>
  <c r="J1007"/>
  <c r="I269"/>
  <c r="I266" s="1"/>
  <c r="K27"/>
  <c r="I332"/>
  <c r="I354"/>
  <c r="J383"/>
  <c r="J80" s="1"/>
  <c r="J423"/>
  <c r="J90" s="1"/>
  <c r="J436"/>
  <c r="J92" s="1"/>
  <c r="J454"/>
  <c r="I470"/>
  <c r="I467" s="1"/>
  <c r="I490"/>
  <c r="I503"/>
  <c r="I521"/>
  <c r="I553"/>
  <c r="J569"/>
  <c r="J141" s="1"/>
  <c r="I585"/>
  <c r="I171" s="1"/>
  <c r="J596"/>
  <c r="J174" s="1"/>
  <c r="J677"/>
  <c r="J29" s="1"/>
  <c r="J28" s="1"/>
  <c r="J691"/>
  <c r="I713"/>
  <c r="I110" s="1"/>
  <c r="I720"/>
  <c r="K720" s="1"/>
  <c r="K724"/>
  <c r="I752"/>
  <c r="I177" s="1"/>
  <c r="I764"/>
  <c r="J819"/>
  <c r="J912"/>
  <c r="I962"/>
  <c r="I959" s="1"/>
  <c r="J1004"/>
  <c r="J161" s="1"/>
  <c r="J1016"/>
  <c r="J164" s="1"/>
  <c r="I1038"/>
  <c r="I167" s="1"/>
  <c r="K167" s="1"/>
  <c r="I1066"/>
  <c r="I1054" s="1"/>
  <c r="K239"/>
  <c r="J400"/>
  <c r="J85" s="1"/>
  <c r="J83" s="1"/>
  <c r="K31"/>
  <c r="J719"/>
  <c r="K868"/>
  <c r="I949"/>
  <c r="I149" s="1"/>
  <c r="I120"/>
  <c r="K120" s="1"/>
  <c r="K211"/>
  <c r="K122"/>
  <c r="J229"/>
  <c r="K47"/>
  <c r="K56" i="36"/>
  <c r="K84"/>
  <c r="I105"/>
  <c r="K213"/>
  <c r="I121"/>
  <c r="K220"/>
  <c r="K348"/>
  <c r="K410"/>
  <c r="K478"/>
  <c r="I99"/>
  <c r="K507"/>
  <c r="K269"/>
  <c r="I266"/>
  <c r="K320"/>
  <c r="I401"/>
  <c r="K402"/>
  <c r="J428"/>
  <c r="J89"/>
  <c r="K444"/>
  <c r="I92"/>
  <c r="J210"/>
  <c r="J123"/>
  <c r="K123" s="1"/>
  <c r="I485"/>
  <c r="K486"/>
  <c r="J506"/>
  <c r="J101"/>
  <c r="J100" s="1"/>
  <c r="K98"/>
  <c r="K211"/>
  <c r="I210"/>
  <c r="I120"/>
  <c r="K354"/>
  <c r="K429"/>
  <c r="I108"/>
  <c r="I116"/>
  <c r="I509"/>
  <c r="K520"/>
  <c r="I559"/>
  <c r="K693"/>
  <c r="I789"/>
  <c r="K879"/>
  <c r="I878"/>
  <c r="K1083"/>
  <c r="K1099"/>
  <c r="I156"/>
  <c r="K598"/>
  <c r="I592"/>
  <c r="K729"/>
  <c r="I723"/>
  <c r="K745"/>
  <c r="K859"/>
  <c r="K888"/>
  <c r="I934"/>
  <c r="K943"/>
  <c r="K900"/>
  <c r="K1032"/>
  <c r="J147"/>
  <c r="J151"/>
  <c r="K926"/>
  <c r="J960"/>
  <c r="J1005"/>
  <c r="K1060"/>
  <c r="I303" i="35"/>
  <c r="I50"/>
  <c r="J74"/>
  <c r="K75"/>
  <c r="K221"/>
  <c r="I220"/>
  <c r="I120"/>
  <c r="J438"/>
  <c r="K1059"/>
  <c r="I1058"/>
  <c r="I157"/>
  <c r="I12"/>
  <c r="K12" s="1"/>
  <c r="K14"/>
  <c r="J17"/>
  <c r="J16" s="1"/>
  <c r="I20"/>
  <c r="I24"/>
  <c r="K24" s="1"/>
  <c r="K26"/>
  <c r="I28"/>
  <c r="K30"/>
  <c r="K34"/>
  <c r="I36"/>
  <c r="I52"/>
  <c r="I56"/>
  <c r="I84"/>
  <c r="J89"/>
  <c r="J88" s="1"/>
  <c r="J93"/>
  <c r="J97"/>
  <c r="K97" s="1"/>
  <c r="J101"/>
  <c r="J100" s="1"/>
  <c r="K116"/>
  <c r="K122"/>
  <c r="K158"/>
  <c r="K192"/>
  <c r="K200"/>
  <c r="I198"/>
  <c r="J121"/>
  <c r="K121" s="1"/>
  <c r="K496"/>
  <c r="I516"/>
  <c r="K516" s="1"/>
  <c r="K659"/>
  <c r="I647"/>
  <c r="I1015"/>
  <c r="K1015" s="1"/>
  <c r="K1018"/>
  <c r="I149"/>
  <c r="K149" s="1"/>
  <c r="J1015"/>
  <c r="J150"/>
  <c r="J147" s="1"/>
  <c r="K1043"/>
  <c r="I155"/>
  <c r="K155" s="1"/>
  <c r="J168"/>
  <c r="K168" s="1"/>
  <c r="K1114"/>
  <c r="K138"/>
  <c r="I137"/>
  <c r="J867"/>
  <c r="J199"/>
  <c r="J198" s="1"/>
  <c r="J52"/>
  <c r="J238"/>
  <c r="I329"/>
  <c r="K332"/>
  <c r="K354"/>
  <c r="I353"/>
  <c r="K364"/>
  <c r="I366"/>
  <c r="I411"/>
  <c r="K414"/>
  <c r="I441"/>
  <c r="K570"/>
  <c r="I569"/>
  <c r="J821"/>
  <c r="J177"/>
  <c r="J176" s="1"/>
  <c r="K199"/>
  <c r="J1072"/>
  <c r="J162"/>
  <c r="J160" s="1"/>
  <c r="K1083"/>
  <c r="I163"/>
  <c r="K163" s="1"/>
  <c r="I1124"/>
  <c r="K1133"/>
  <c r="I203"/>
  <c r="K203" s="1"/>
  <c r="I18"/>
  <c r="K18" s="1"/>
  <c r="J39"/>
  <c r="I42"/>
  <c r="K42" s="1"/>
  <c r="I114"/>
  <c r="K117"/>
  <c r="I151"/>
  <c r="K151" s="1"/>
  <c r="K162"/>
  <c r="J170"/>
  <c r="K175"/>
  <c r="K196"/>
  <c r="I204"/>
  <c r="K204" s="1"/>
  <c r="J220"/>
  <c r="I123"/>
  <c r="K123" s="1"/>
  <c r="K230"/>
  <c r="I239"/>
  <c r="K256"/>
  <c r="K277"/>
  <c r="K279"/>
  <c r="I276"/>
  <c r="K276" s="1"/>
  <c r="J329"/>
  <c r="K379"/>
  <c r="I397"/>
  <c r="J411"/>
  <c r="I454"/>
  <c r="K705"/>
  <c r="I193"/>
  <c r="K193" s="1"/>
  <c r="I746"/>
  <c r="K746" s="1"/>
  <c r="K755"/>
  <c r="I143"/>
  <c r="I144"/>
  <c r="K987"/>
  <c r="I145"/>
  <c r="K145" s="1"/>
  <c r="K608"/>
  <c r="I602"/>
  <c r="K648"/>
  <c r="J695"/>
  <c r="K739"/>
  <c r="I733"/>
  <c r="K733" s="1"/>
  <c r="I777"/>
  <c r="K777" s="1"/>
  <c r="J789"/>
  <c r="J799"/>
  <c r="K807"/>
  <c r="I822"/>
  <c r="K868"/>
  <c r="J929"/>
  <c r="K937"/>
  <c r="K1031"/>
  <c r="I1028"/>
  <c r="I560"/>
  <c r="K888"/>
  <c r="I948"/>
  <c r="K1022"/>
  <c r="K1065"/>
  <c r="K1076"/>
  <c r="I1072"/>
  <c r="K1085"/>
  <c r="I1116"/>
  <c r="K696"/>
  <c r="I695"/>
  <c r="K761"/>
  <c r="I760"/>
  <c r="K800"/>
  <c r="I799"/>
  <c r="K852"/>
  <c r="K859"/>
  <c r="I867"/>
  <c r="K867" s="1"/>
  <c r="K872"/>
  <c r="J904"/>
  <c r="K930"/>
  <c r="I929"/>
  <c r="K939"/>
  <c r="J1028"/>
  <c r="J1058"/>
  <c r="J1103"/>
  <c r="J1123"/>
  <c r="K220" i="34"/>
  <c r="I123"/>
  <c r="K123" s="1"/>
  <c r="K468"/>
  <c r="I98"/>
  <c r="K42"/>
  <c r="J112"/>
  <c r="K118"/>
  <c r="J101"/>
  <c r="I192"/>
  <c r="J89"/>
  <c r="I41"/>
  <c r="K41" s="1"/>
  <c r="K91"/>
  <c r="K103"/>
  <c r="K107"/>
  <c r="K352"/>
  <c r="I46"/>
  <c r="K51"/>
  <c r="K75"/>
  <c r="K87"/>
  <c r="K299"/>
  <c r="I52"/>
  <c r="K326"/>
  <c r="J58"/>
  <c r="K58" s="1"/>
  <c r="K365"/>
  <c r="I77"/>
  <c r="K77" s="1"/>
  <c r="K398"/>
  <c r="I84"/>
  <c r="K434"/>
  <c r="K488"/>
  <c r="I101"/>
  <c r="K960"/>
  <c r="I152"/>
  <c r="J155"/>
  <c r="K1064"/>
  <c r="I193"/>
  <c r="K193" s="1"/>
  <c r="K318"/>
  <c r="K406"/>
  <c r="K789"/>
  <c r="I186"/>
  <c r="K186" s="1"/>
  <c r="K803"/>
  <c r="I190"/>
  <c r="K190" s="1"/>
  <c r="K953"/>
  <c r="I150"/>
  <c r="K150" s="1"/>
  <c r="K163"/>
  <c r="K336"/>
  <c r="K421"/>
  <c r="K460"/>
  <c r="K737"/>
  <c r="K762"/>
  <c r="I178"/>
  <c r="K178" s="1"/>
  <c r="K840"/>
  <c r="K501"/>
  <c r="K632"/>
  <c r="K683"/>
  <c r="K685"/>
  <c r="K669"/>
  <c r="K887"/>
  <c r="K974"/>
  <c r="K996"/>
  <c r="K1014"/>
  <c r="H558" i="30"/>
  <c r="G558"/>
  <c r="I558" s="1"/>
  <c r="H94"/>
  <c r="G94"/>
  <c r="I94" s="1"/>
  <c r="H92"/>
  <c r="G92"/>
  <c r="I573"/>
  <c r="I556"/>
  <c r="H552"/>
  <c r="I552" s="1"/>
  <c r="G552"/>
  <c r="G544"/>
  <c r="G545"/>
  <c r="G546"/>
  <c r="G547"/>
  <c r="G548"/>
  <c r="G549"/>
  <c r="G550"/>
  <c r="G551"/>
  <c r="G553"/>
  <c r="G554"/>
  <c r="J175" i="31"/>
  <c r="I175"/>
  <c r="H15" i="30"/>
  <c r="G15"/>
  <c r="K671" i="31"/>
  <c r="K674"/>
  <c r="K673"/>
  <c r="I135" i="30"/>
  <c r="I131"/>
  <c r="J662" i="31"/>
  <c r="I662"/>
  <c r="H96" i="30"/>
  <c r="G96"/>
  <c r="H87"/>
  <c r="G87"/>
  <c r="I519"/>
  <c r="I518"/>
  <c r="H517"/>
  <c r="H86" s="1"/>
  <c r="G517"/>
  <c r="G86" s="1"/>
  <c r="H574"/>
  <c r="G574"/>
  <c r="I576"/>
  <c r="I575"/>
  <c r="J53" i="31"/>
  <c r="I53"/>
  <c r="J47"/>
  <c r="I47"/>
  <c r="J319"/>
  <c r="J52" s="1"/>
  <c r="I319"/>
  <c r="I52" s="1"/>
  <c r="K321"/>
  <c r="J254"/>
  <c r="I254"/>
  <c r="I46" s="1"/>
  <c r="K256"/>
  <c r="K255"/>
  <c r="K323"/>
  <c r="K320"/>
  <c r="K259"/>
  <c r="K258"/>
  <c r="I51"/>
  <c r="I45"/>
  <c r="K318"/>
  <c r="J51"/>
  <c r="J45"/>
  <c r="J247"/>
  <c r="J312"/>
  <c r="I238"/>
  <c r="I305"/>
  <c r="K252"/>
  <c r="I247"/>
  <c r="K317"/>
  <c r="I312"/>
  <c r="J122"/>
  <c r="I122"/>
  <c r="J214"/>
  <c r="I214"/>
  <c r="K219"/>
  <c r="K218"/>
  <c r="H34" i="30"/>
  <c r="G34"/>
  <c r="I260"/>
  <c r="I262"/>
  <c r="H257"/>
  <c r="G257"/>
  <c r="H36"/>
  <c r="G36"/>
  <c r="H261"/>
  <c r="G261"/>
  <c r="I264"/>
  <c r="H47"/>
  <c r="G47"/>
  <c r="I47" s="1"/>
  <c r="I340"/>
  <c r="I336"/>
  <c r="H336" s="1"/>
  <c r="H19"/>
  <c r="G19"/>
  <c r="H142"/>
  <c r="G142"/>
  <c r="H20"/>
  <c r="G20"/>
  <c r="I145"/>
  <c r="I220"/>
  <c r="H432"/>
  <c r="G432"/>
  <c r="H435"/>
  <c r="G435"/>
  <c r="H436"/>
  <c r="G436"/>
  <c r="G140"/>
  <c r="G170"/>
  <c r="G169" s="1"/>
  <c r="G23" s="1"/>
  <c r="H133"/>
  <c r="G133"/>
  <c r="H132"/>
  <c r="G132"/>
  <c r="G130" s="1"/>
  <c r="H570"/>
  <c r="G570"/>
  <c r="H553"/>
  <c r="H542"/>
  <c r="H541" s="1"/>
  <c r="H90" s="1"/>
  <c r="G542"/>
  <c r="G541" s="1"/>
  <c r="G90" s="1"/>
  <c r="H539"/>
  <c r="G539"/>
  <c r="H540"/>
  <c r="G540"/>
  <c r="H538"/>
  <c r="G538"/>
  <c r="H468"/>
  <c r="G468"/>
  <c r="H373"/>
  <c r="H372" s="1"/>
  <c r="H52" s="1"/>
  <c r="G373"/>
  <c r="G372" s="1"/>
  <c r="G52" s="1"/>
  <c r="H360"/>
  <c r="H359" s="1"/>
  <c r="H50" s="1"/>
  <c r="G360"/>
  <c r="G359" s="1"/>
  <c r="G50" s="1"/>
  <c r="H342"/>
  <c r="H341" s="1"/>
  <c r="H48" s="1"/>
  <c r="G342"/>
  <c r="G341" s="1"/>
  <c r="G48" s="1"/>
  <c r="H335"/>
  <c r="G335"/>
  <c r="H337"/>
  <c r="G337"/>
  <c r="H332"/>
  <c r="H331" s="1"/>
  <c r="H45" s="1"/>
  <c r="G332"/>
  <c r="G331" s="1"/>
  <c r="G45" s="1"/>
  <c r="H326"/>
  <c r="G326"/>
  <c r="H327"/>
  <c r="G327"/>
  <c r="H328"/>
  <c r="G328"/>
  <c r="H329"/>
  <c r="G329"/>
  <c r="I851" i="35" l="1"/>
  <c r="K851" s="1"/>
  <c r="K824" i="36"/>
  <c r="K106"/>
  <c r="I1025"/>
  <c r="J176"/>
  <c r="I506"/>
  <c r="K506" s="1"/>
  <c r="I894"/>
  <c r="I1098"/>
  <c r="J1078"/>
  <c r="K26"/>
  <c r="J878"/>
  <c r="K878" s="1"/>
  <c r="K780"/>
  <c r="K33"/>
  <c r="J88"/>
  <c r="I428"/>
  <c r="I112"/>
  <c r="I111" s="1"/>
  <c r="K111" s="1"/>
  <c r="J17"/>
  <c r="J16" s="1"/>
  <c r="K961"/>
  <c r="K1079"/>
  <c r="K141"/>
  <c r="J165"/>
  <c r="K173"/>
  <c r="K52"/>
  <c r="K229" i="34"/>
  <c r="K782"/>
  <c r="J266"/>
  <c r="J50"/>
  <c r="J49" s="1"/>
  <c r="K1034"/>
  <c r="K354"/>
  <c r="K1047"/>
  <c r="J184"/>
  <c r="K664"/>
  <c r="J194"/>
  <c r="J191" s="1"/>
  <c r="J121"/>
  <c r="J119" s="1"/>
  <c r="K1055"/>
  <c r="K164"/>
  <c r="J317"/>
  <c r="K317" s="1"/>
  <c r="J176"/>
  <c r="I160"/>
  <c r="J520"/>
  <c r="I530"/>
  <c r="J729"/>
  <c r="K920"/>
  <c r="K344" i="36"/>
  <c r="K185"/>
  <c r="K82"/>
  <c r="I137"/>
  <c r="K167"/>
  <c r="I736"/>
  <c r="K695"/>
  <c r="J485"/>
  <c r="K488"/>
  <c r="I28"/>
  <c r="K646"/>
  <c r="K812"/>
  <c r="I146"/>
  <c r="K146" s="1"/>
  <c r="K157"/>
  <c r="K177"/>
  <c r="K895"/>
  <c r="J811"/>
  <c r="K737"/>
  <c r="I960"/>
  <c r="K156"/>
  <c r="I319"/>
  <c r="K105"/>
  <c r="I918"/>
  <c r="K842"/>
  <c r="J55"/>
  <c r="K55" s="1"/>
  <c r="K1026"/>
  <c r="J1025"/>
  <c r="K1025" s="1"/>
  <c r="J79"/>
  <c r="K79" s="1"/>
  <c r="K934"/>
  <c r="K919"/>
  <c r="K968"/>
  <c r="I767"/>
  <c r="I1078"/>
  <c r="K1078" s="1"/>
  <c r="K93"/>
  <c r="I343"/>
  <c r="I61" s="1"/>
  <c r="K140"/>
  <c r="K94"/>
  <c r="J401"/>
  <c r="K401" s="1"/>
  <c r="I179"/>
  <c r="K179" s="1"/>
  <c r="K85"/>
  <c r="K858"/>
  <c r="I637"/>
  <c r="K144"/>
  <c r="I32"/>
  <c r="I180"/>
  <c r="J1098"/>
  <c r="K1098" s="1"/>
  <c r="J192"/>
  <c r="K773"/>
  <c r="K986"/>
  <c r="K210"/>
  <c r="I83"/>
  <c r="K83" s="1"/>
  <c r="K638"/>
  <c r="I166"/>
  <c r="K166" s="1"/>
  <c r="J40"/>
  <c r="K937"/>
  <c r="I841"/>
  <c r="I983"/>
  <c r="K983" s="1"/>
  <c r="I750"/>
  <c r="K404"/>
  <c r="J386"/>
  <c r="I811"/>
  <c r="I188"/>
  <c r="K789"/>
  <c r="K851"/>
  <c r="K187"/>
  <c r="J841"/>
  <c r="J171"/>
  <c r="K171" s="1"/>
  <c r="K164"/>
  <c r="J117"/>
  <c r="I685"/>
  <c r="K790"/>
  <c r="K322"/>
  <c r="K266"/>
  <c r="J142"/>
  <c r="K1062"/>
  <c r="I1005"/>
  <c r="K686"/>
  <c r="I1049"/>
  <c r="I160"/>
  <c r="J180"/>
  <c r="K779"/>
  <c r="K17"/>
  <c r="I151"/>
  <c r="K151" s="1"/>
  <c r="K153"/>
  <c r="J750"/>
  <c r="J37"/>
  <c r="K1008"/>
  <c r="I471"/>
  <c r="K471" s="1"/>
  <c r="K121"/>
  <c r="K24"/>
  <c r="J137"/>
  <c r="K137" s="1"/>
  <c r="I549"/>
  <c r="K549" s="1"/>
  <c r="J592"/>
  <c r="K592" s="1"/>
  <c r="I44"/>
  <c r="I43" s="1"/>
  <c r="K43" s="1"/>
  <c r="K1092"/>
  <c r="I169"/>
  <c r="K902"/>
  <c r="J23"/>
  <c r="K928"/>
  <c r="J894"/>
  <c r="K21"/>
  <c r="I20"/>
  <c r="J918"/>
  <c r="K894"/>
  <c r="K472"/>
  <c r="K112"/>
  <c r="J353"/>
  <c r="I228"/>
  <c r="K228" s="1"/>
  <c r="J32"/>
  <c r="K16"/>
  <c r="I147"/>
  <c r="K147" s="1"/>
  <c r="K751"/>
  <c r="K550"/>
  <c r="K593"/>
  <c r="K189"/>
  <c r="J1049"/>
  <c r="J162"/>
  <c r="K40"/>
  <c r="J736"/>
  <c r="K736" s="1"/>
  <c r="J29"/>
  <c r="K110"/>
  <c r="J38"/>
  <c r="K38" s="1"/>
  <c r="K18"/>
  <c r="I191"/>
  <c r="K356"/>
  <c r="I76"/>
  <c r="K428"/>
  <c r="I293"/>
  <c r="J13"/>
  <c r="J12" s="1"/>
  <c r="J723"/>
  <c r="K723" s="1"/>
  <c r="J559"/>
  <c r="K559" s="1"/>
  <c r="J115"/>
  <c r="K431"/>
  <c r="I90"/>
  <c r="K90" s="1"/>
  <c r="K183"/>
  <c r="I353"/>
  <c r="I184"/>
  <c r="K184" s="1"/>
  <c r="K387"/>
  <c r="K294"/>
  <c r="K80"/>
  <c r="K57"/>
  <c r="K30"/>
  <c r="J319"/>
  <c r="J685"/>
  <c r="K174"/>
  <c r="K560"/>
  <c r="I386"/>
  <c r="J767"/>
  <c r="J109"/>
  <c r="K139"/>
  <c r="J293"/>
  <c r="J50"/>
  <c r="I170"/>
  <c r="K138"/>
  <c r="J637"/>
  <c r="K637" s="1"/>
  <c r="I12"/>
  <c r="K649"/>
  <c r="K1072" i="35"/>
  <c r="K167"/>
  <c r="K897"/>
  <c r="K1107"/>
  <c r="I973"/>
  <c r="J945"/>
  <c r="I887"/>
  <c r="I32"/>
  <c r="K32" s="1"/>
  <c r="K989"/>
  <c r="K911"/>
  <c r="I903"/>
  <c r="K144"/>
  <c r="I170"/>
  <c r="J602"/>
  <c r="K602" s="1"/>
  <c r="K1073"/>
  <c r="I161"/>
  <c r="K783"/>
  <c r="I110"/>
  <c r="K647"/>
  <c r="J647"/>
  <c r="K60"/>
  <c r="J137"/>
  <c r="J887"/>
  <c r="K887" s="1"/>
  <c r="J760"/>
  <c r="J37"/>
  <c r="J108"/>
  <c r="K29"/>
  <c r="K760"/>
  <c r="K28"/>
  <c r="J973"/>
  <c r="K973" s="1"/>
  <c r="J144"/>
  <c r="J142" s="1"/>
  <c r="K861"/>
  <c r="I197"/>
  <c r="K790"/>
  <c r="I789"/>
  <c r="K789" s="1"/>
  <c r="I112"/>
  <c r="K94"/>
  <c r="K170"/>
  <c r="J119"/>
  <c r="K93"/>
  <c r="J569"/>
  <c r="J115"/>
  <c r="K139"/>
  <c r="K57"/>
  <c r="K569"/>
  <c r="K137"/>
  <c r="I481"/>
  <c r="K481" s="1"/>
  <c r="J303"/>
  <c r="K303" s="1"/>
  <c r="J50"/>
  <c r="K519"/>
  <c r="I102"/>
  <c r="K532"/>
  <c r="I104"/>
  <c r="K104" s="1"/>
  <c r="J49"/>
  <c r="K482"/>
  <c r="J495"/>
  <c r="K495" s="1"/>
  <c r="J83"/>
  <c r="I194" i="34"/>
  <c r="I191" s="1"/>
  <c r="J751"/>
  <c r="J165"/>
  <c r="I552"/>
  <c r="J989"/>
  <c r="J79"/>
  <c r="K634"/>
  <c r="I153"/>
  <c r="I151" s="1"/>
  <c r="I382"/>
  <c r="K819"/>
  <c r="J149"/>
  <c r="J147" s="1"/>
  <c r="I189"/>
  <c r="I188" s="1"/>
  <c r="I169"/>
  <c r="K169" s="1"/>
  <c r="I729"/>
  <c r="K752"/>
  <c r="K52"/>
  <c r="J676"/>
  <c r="J382"/>
  <c r="I185"/>
  <c r="I184" s="1"/>
  <c r="K184" s="1"/>
  <c r="I121"/>
  <c r="I119" s="1"/>
  <c r="I26"/>
  <c r="I24" s="1"/>
  <c r="K24" s="1"/>
  <c r="K454"/>
  <c r="K1038"/>
  <c r="K213"/>
  <c r="K383"/>
  <c r="K82"/>
  <c r="K210"/>
  <c r="K46"/>
  <c r="K269"/>
  <c r="K146"/>
  <c r="K40"/>
  <c r="K879"/>
  <c r="J20"/>
  <c r="J876"/>
  <c r="J1033"/>
  <c r="J351"/>
  <c r="K949"/>
  <c r="J959"/>
  <c r="K959" s="1"/>
  <c r="I397"/>
  <c r="K171"/>
  <c r="I584"/>
  <c r="K92"/>
  <c r="J781"/>
  <c r="J180"/>
  <c r="K187"/>
  <c r="J624"/>
  <c r="I860"/>
  <c r="K436"/>
  <c r="K174"/>
  <c r="K828"/>
  <c r="I453"/>
  <c r="K141"/>
  <c r="K283"/>
  <c r="K284"/>
  <c r="K558"/>
  <c r="K1066"/>
  <c r="K569"/>
  <c r="K521"/>
  <c r="K791"/>
  <c r="I624"/>
  <c r="I487"/>
  <c r="K729"/>
  <c r="K870"/>
  <c r="K861"/>
  <c r="K625"/>
  <c r="J552"/>
  <c r="I44"/>
  <c r="I43" s="1"/>
  <c r="K1016"/>
  <c r="I834"/>
  <c r="J487"/>
  <c r="J860"/>
  <c r="K860" s="1"/>
  <c r="J32"/>
  <c r="K23"/>
  <c r="I20"/>
  <c r="I19"/>
  <c r="K19" s="1"/>
  <c r="I50"/>
  <c r="J59"/>
  <c r="K842"/>
  <c r="K596"/>
  <c r="K153"/>
  <c r="I420"/>
  <c r="I690"/>
  <c r="I876"/>
  <c r="K161"/>
  <c r="K110"/>
  <c r="I989"/>
  <c r="I663"/>
  <c r="I1003"/>
  <c r="K691"/>
  <c r="J137"/>
  <c r="K90"/>
  <c r="J108"/>
  <c r="K109"/>
  <c r="J834"/>
  <c r="I142"/>
  <c r="K990"/>
  <c r="I818"/>
  <c r="J707"/>
  <c r="J151"/>
  <c r="K962"/>
  <c r="I351"/>
  <c r="K143"/>
  <c r="K730"/>
  <c r="K905"/>
  <c r="K531"/>
  <c r="I946"/>
  <c r="K946" s="1"/>
  <c r="I88"/>
  <c r="J94"/>
  <c r="J93" s="1"/>
  <c r="K93" s="1"/>
  <c r="J170"/>
  <c r="J1003"/>
  <c r="J467"/>
  <c r="K467" s="1"/>
  <c r="K799"/>
  <c r="J453"/>
  <c r="J584"/>
  <c r="I76"/>
  <c r="K76" s="1"/>
  <c r="J189"/>
  <c r="J188" s="1"/>
  <c r="K60"/>
  <c r="J530"/>
  <c r="J115"/>
  <c r="J114" s="1"/>
  <c r="K114" s="1"/>
  <c r="I904"/>
  <c r="K713"/>
  <c r="I156"/>
  <c r="K1004"/>
  <c r="I707"/>
  <c r="K585"/>
  <c r="J100"/>
  <c r="K798"/>
  <c r="K139"/>
  <c r="K21"/>
  <c r="K835"/>
  <c r="K320"/>
  <c r="I57"/>
  <c r="I1033"/>
  <c r="I781"/>
  <c r="K155"/>
  <c r="I108"/>
  <c r="J818"/>
  <c r="J17"/>
  <c r="I112"/>
  <c r="I111" s="1"/>
  <c r="I719"/>
  <c r="K719" s="1"/>
  <c r="I520"/>
  <c r="I106"/>
  <c r="K470"/>
  <c r="I99"/>
  <c r="K99" s="1"/>
  <c r="J397"/>
  <c r="K85"/>
  <c r="K18"/>
  <c r="I12"/>
  <c r="J904"/>
  <c r="J144"/>
  <c r="K553"/>
  <c r="I138"/>
  <c r="K138" s="1"/>
  <c r="K332"/>
  <c r="I331"/>
  <c r="K912"/>
  <c r="J162"/>
  <c r="K162" s="1"/>
  <c r="K764"/>
  <c r="I179"/>
  <c r="K179" s="1"/>
  <c r="K503"/>
  <c r="I104"/>
  <c r="K104" s="1"/>
  <c r="K266"/>
  <c r="I676"/>
  <c r="K677"/>
  <c r="I29"/>
  <c r="K593"/>
  <c r="I173"/>
  <c r="K173" s="1"/>
  <c r="K183"/>
  <c r="K33"/>
  <c r="I32"/>
  <c r="K400"/>
  <c r="K1007"/>
  <c r="K423"/>
  <c r="J420"/>
  <c r="I751"/>
  <c r="J690"/>
  <c r="J37"/>
  <c r="K490"/>
  <c r="I102"/>
  <c r="K102" s="1"/>
  <c r="J663"/>
  <c r="J13"/>
  <c r="J12" s="1"/>
  <c r="K708"/>
  <c r="J228"/>
  <c r="K228" s="1"/>
  <c r="J44"/>
  <c r="J43" s="1"/>
  <c r="K47" i="31"/>
  <c r="K53"/>
  <c r="K99" i="36"/>
  <c r="I97"/>
  <c r="K97" s="1"/>
  <c r="K188"/>
  <c r="K485"/>
  <c r="K89"/>
  <c r="K1005"/>
  <c r="K343"/>
  <c r="J119"/>
  <c r="K101"/>
  <c r="K960"/>
  <c r="K509"/>
  <c r="I102"/>
  <c r="K120"/>
  <c r="I119"/>
  <c r="K92"/>
  <c r="K1103" i="35"/>
  <c r="J166"/>
  <c r="K929"/>
  <c r="K799"/>
  <c r="K695"/>
  <c r="I945"/>
  <c r="K945" s="1"/>
  <c r="K948"/>
  <c r="I40"/>
  <c r="K560"/>
  <c r="I106"/>
  <c r="I559"/>
  <c r="K559" s="1"/>
  <c r="K822"/>
  <c r="I821"/>
  <c r="K821" s="1"/>
  <c r="I177"/>
  <c r="K143"/>
  <c r="I142"/>
  <c r="K142" s="1"/>
  <c r="J1102"/>
  <c r="K366"/>
  <c r="I76"/>
  <c r="I190"/>
  <c r="K190" s="1"/>
  <c r="K150"/>
  <c r="K84"/>
  <c r="I83"/>
  <c r="I16"/>
  <c r="K16" s="1"/>
  <c r="K1058"/>
  <c r="K220"/>
  <c r="K101"/>
  <c r="K454"/>
  <c r="I92"/>
  <c r="K92" s="1"/>
  <c r="J38"/>
  <c r="K39"/>
  <c r="K1124"/>
  <c r="I1123"/>
  <c r="K1123" s="1"/>
  <c r="I202"/>
  <c r="K441"/>
  <c r="I90"/>
  <c r="K329"/>
  <c r="K198"/>
  <c r="I147"/>
  <c r="K147" s="1"/>
  <c r="K56"/>
  <c r="I55"/>
  <c r="K55" s="1"/>
  <c r="I49"/>
  <c r="K49" s="1"/>
  <c r="K50"/>
  <c r="K89"/>
  <c r="J903"/>
  <c r="K903" s="1"/>
  <c r="K904"/>
  <c r="J21"/>
  <c r="K1116"/>
  <c r="I169"/>
  <c r="I1102"/>
  <c r="K1102" s="1"/>
  <c r="K239"/>
  <c r="I238"/>
  <c r="K238" s="1"/>
  <c r="I44"/>
  <c r="K353"/>
  <c r="I61"/>
  <c r="I438"/>
  <c r="K438" s="1"/>
  <c r="K52"/>
  <c r="K17"/>
  <c r="K1028"/>
  <c r="K397"/>
  <c r="I396"/>
  <c r="K396" s="1"/>
  <c r="I80"/>
  <c r="K411"/>
  <c r="I363"/>
  <c r="K363" s="1"/>
  <c r="K157"/>
  <c r="I156"/>
  <c r="K156" s="1"/>
  <c r="K120"/>
  <c r="I119"/>
  <c r="I79" i="34"/>
  <c r="K80"/>
  <c r="J116"/>
  <c r="K116" s="1"/>
  <c r="K117"/>
  <c r="J55"/>
  <c r="K157"/>
  <c r="J156"/>
  <c r="K1054"/>
  <c r="K166"/>
  <c r="K98"/>
  <c r="K177"/>
  <c r="K181"/>
  <c r="I180"/>
  <c r="K152"/>
  <c r="K192"/>
  <c r="K101"/>
  <c r="J88"/>
  <c r="K89"/>
  <c r="J111"/>
  <c r="I83"/>
  <c r="K83" s="1"/>
  <c r="K84"/>
  <c r="I147"/>
  <c r="I38"/>
  <c r="K38" s="1"/>
  <c r="K45" i="31"/>
  <c r="K312"/>
  <c r="K247"/>
  <c r="K662"/>
  <c r="H130" i="30"/>
  <c r="H14" s="1"/>
  <c r="I96"/>
  <c r="I257"/>
  <c r="G95"/>
  <c r="I20"/>
  <c r="G543"/>
  <c r="G91" s="1"/>
  <c r="G35"/>
  <c r="G14"/>
  <c r="H95"/>
  <c r="G336"/>
  <c r="I36"/>
  <c r="I87"/>
  <c r="I15"/>
  <c r="J46" i="31"/>
  <c r="K122"/>
  <c r="K51"/>
  <c r="I34" i="30"/>
  <c r="I90"/>
  <c r="I45"/>
  <c r="I48"/>
  <c r="I52"/>
  <c r="I50"/>
  <c r="H537"/>
  <c r="H89" s="1"/>
  <c r="G434"/>
  <c r="G72" s="1"/>
  <c r="H434"/>
  <c r="H72" s="1"/>
  <c r="H170"/>
  <c r="H169" s="1"/>
  <c r="H23" s="1"/>
  <c r="I23" s="1"/>
  <c r="I541"/>
  <c r="G537"/>
  <c r="I372"/>
  <c r="I359"/>
  <c r="I341"/>
  <c r="I331"/>
  <c r="I250"/>
  <c r="H243"/>
  <c r="G243"/>
  <c r="H255"/>
  <c r="G255"/>
  <c r="H254"/>
  <c r="G254"/>
  <c r="H253"/>
  <c r="G253"/>
  <c r="H252"/>
  <c r="G252"/>
  <c r="K101" i="33"/>
  <c r="K100"/>
  <c r="K99"/>
  <c r="K98" s="1"/>
  <c r="K97" s="1"/>
  <c r="J98"/>
  <c r="J97" s="1"/>
  <c r="I98"/>
  <c r="I97" s="1"/>
  <c r="K95"/>
  <c r="K94"/>
  <c r="K93"/>
  <c r="K92"/>
  <c r="K91"/>
  <c r="K90" s="1"/>
  <c r="K89" s="1"/>
  <c r="K76"/>
  <c r="K75"/>
  <c r="K74" s="1"/>
  <c r="J74"/>
  <c r="I74"/>
  <c r="K73"/>
  <c r="K72"/>
  <c r="K71"/>
  <c r="K70"/>
  <c r="J70"/>
  <c r="I70"/>
  <c r="K69"/>
  <c r="K68"/>
  <c r="K67" s="1"/>
  <c r="K66" s="1"/>
  <c r="J67"/>
  <c r="J66" s="1"/>
  <c r="I67"/>
  <c r="K47"/>
  <c r="K46"/>
  <c r="K45"/>
  <c r="K44"/>
  <c r="K43"/>
  <c r="K42"/>
  <c r="K26"/>
  <c r="K25"/>
  <c r="K24"/>
  <c r="K23"/>
  <c r="K22"/>
  <c r="K21"/>
  <c r="K20"/>
  <c r="K19"/>
  <c r="K18"/>
  <c r="K17"/>
  <c r="K16"/>
  <c r="K15"/>
  <c r="K14"/>
  <c r="K13"/>
  <c r="K918" i="36" l="1"/>
  <c r="I176"/>
  <c r="K176" s="1"/>
  <c r="I88"/>
  <c r="K88" s="1"/>
  <c r="K750"/>
  <c r="K50" i="34"/>
  <c r="K191"/>
  <c r="K119"/>
  <c r="K194"/>
  <c r="K552"/>
  <c r="K520"/>
  <c r="K26"/>
  <c r="I165"/>
  <c r="K165" s="1"/>
  <c r="K676"/>
  <c r="K530"/>
  <c r="K989"/>
  <c r="K79"/>
  <c r="K751"/>
  <c r="K397"/>
  <c r="K453"/>
  <c r="K1049" i="36"/>
  <c r="K319"/>
  <c r="K12"/>
  <c r="K811"/>
  <c r="I142"/>
  <c r="K142" s="1"/>
  <c r="K13"/>
  <c r="K180"/>
  <c r="K841"/>
  <c r="K386"/>
  <c r="J170"/>
  <c r="K767"/>
  <c r="K192"/>
  <c r="J191"/>
  <c r="K191" s="1"/>
  <c r="K119"/>
  <c r="K32"/>
  <c r="K685"/>
  <c r="K117"/>
  <c r="J116"/>
  <c r="K116" s="1"/>
  <c r="K44"/>
  <c r="J28"/>
  <c r="K28" s="1"/>
  <c r="K29"/>
  <c r="K170"/>
  <c r="K169"/>
  <c r="I165"/>
  <c r="K165" s="1"/>
  <c r="J36"/>
  <c r="K36" s="1"/>
  <c r="K37"/>
  <c r="K293"/>
  <c r="J160"/>
  <c r="K160" s="1"/>
  <c r="K162"/>
  <c r="K23"/>
  <c r="J20"/>
  <c r="K20" s="1"/>
  <c r="K353"/>
  <c r="K76"/>
  <c r="I74"/>
  <c r="K74" s="1"/>
  <c r="J108"/>
  <c r="K109"/>
  <c r="K115"/>
  <c r="J114"/>
  <c r="K114" s="1"/>
  <c r="K50"/>
  <c r="J49"/>
  <c r="K49" s="1"/>
  <c r="J36" i="35"/>
  <c r="K36" s="1"/>
  <c r="K37"/>
  <c r="I108"/>
  <c r="K108" s="1"/>
  <c r="K110"/>
  <c r="K119"/>
  <c r="I194"/>
  <c r="K194" s="1"/>
  <c r="K197"/>
  <c r="K112"/>
  <c r="I111"/>
  <c r="K111" s="1"/>
  <c r="K161"/>
  <c r="I160"/>
  <c r="K160" s="1"/>
  <c r="I100"/>
  <c r="K100" s="1"/>
  <c r="K102"/>
  <c r="J114"/>
  <c r="K114" s="1"/>
  <c r="K115"/>
  <c r="K83"/>
  <c r="K1033" i="34"/>
  <c r="K147"/>
  <c r="K690"/>
  <c r="K149"/>
  <c r="K487"/>
  <c r="K20"/>
  <c r="K382"/>
  <c r="K185"/>
  <c r="K121"/>
  <c r="K584"/>
  <c r="K781"/>
  <c r="K351"/>
  <c r="K94"/>
  <c r="K189"/>
  <c r="K420"/>
  <c r="K111"/>
  <c r="K904"/>
  <c r="K876"/>
  <c r="K624"/>
  <c r="I49"/>
  <c r="K49" s="1"/>
  <c r="K43"/>
  <c r="K180"/>
  <c r="K707"/>
  <c r="K32"/>
  <c r="I176"/>
  <c r="K176" s="1"/>
  <c r="K818"/>
  <c r="K112"/>
  <c r="I16"/>
  <c r="K151"/>
  <c r="K663"/>
  <c r="K115"/>
  <c r="K834"/>
  <c r="I74"/>
  <c r="K74" s="1"/>
  <c r="K1003"/>
  <c r="K156"/>
  <c r="J160"/>
  <c r="K160" s="1"/>
  <c r="I170"/>
  <c r="K170" s="1"/>
  <c r="K108"/>
  <c r="I137"/>
  <c r="K137" s="1"/>
  <c r="K88"/>
  <c r="K57"/>
  <c r="I55"/>
  <c r="K55" s="1"/>
  <c r="I100"/>
  <c r="K100" s="1"/>
  <c r="J36"/>
  <c r="K36" s="1"/>
  <c r="K37"/>
  <c r="K29"/>
  <c r="I28"/>
  <c r="K28" s="1"/>
  <c r="I97"/>
  <c r="K97" s="1"/>
  <c r="K12"/>
  <c r="K106"/>
  <c r="I105"/>
  <c r="K105" s="1"/>
  <c r="J16"/>
  <c r="K16" s="1"/>
  <c r="K17"/>
  <c r="K331"/>
  <c r="I61"/>
  <c r="J142"/>
  <c r="K142" s="1"/>
  <c r="K144"/>
  <c r="K13"/>
  <c r="K44"/>
  <c r="K102" i="36"/>
  <c r="I100"/>
  <c r="K61"/>
  <c r="I59"/>
  <c r="K59" s="1"/>
  <c r="J20" i="35"/>
  <c r="K20" s="1"/>
  <c r="K21"/>
  <c r="K90"/>
  <c r="I88"/>
  <c r="K88" s="1"/>
  <c r="K40"/>
  <c r="I38"/>
  <c r="K38" s="1"/>
  <c r="K76"/>
  <c r="I74"/>
  <c r="K74" s="1"/>
  <c r="K80"/>
  <c r="I79"/>
  <c r="K79" s="1"/>
  <c r="K44"/>
  <c r="I43"/>
  <c r="K43" s="1"/>
  <c r="K169"/>
  <c r="I165"/>
  <c r="I201"/>
  <c r="K201" s="1"/>
  <c r="K202"/>
  <c r="K177"/>
  <c r="I176"/>
  <c r="K176" s="1"/>
  <c r="K106"/>
  <c r="I105"/>
  <c r="K105" s="1"/>
  <c r="J165"/>
  <c r="K166"/>
  <c r="K61"/>
  <c r="I59"/>
  <c r="K59" s="1"/>
  <c r="K188" i="34"/>
  <c r="I66" i="33"/>
  <c r="I72" i="30"/>
  <c r="I537"/>
  <c r="G89"/>
  <c r="I14"/>
  <c r="I434"/>
  <c r="I130"/>
  <c r="H665"/>
  <c r="G665"/>
  <c r="H664"/>
  <c r="G664"/>
  <c r="H663"/>
  <c r="G663"/>
  <c r="H662"/>
  <c r="G662"/>
  <c r="H652"/>
  <c r="H651" s="1"/>
  <c r="G652"/>
  <c r="G651" s="1"/>
  <c r="H650"/>
  <c r="G650"/>
  <c r="H649"/>
  <c r="G649"/>
  <c r="H648"/>
  <c r="G648"/>
  <c r="H647"/>
  <c r="G647"/>
  <c r="H630"/>
  <c r="G630"/>
  <c r="H631"/>
  <c r="G631"/>
  <c r="H629"/>
  <c r="G629"/>
  <c r="H628"/>
  <c r="G628"/>
  <c r="H626"/>
  <c r="G626"/>
  <c r="H624"/>
  <c r="H623" s="1"/>
  <c r="G624"/>
  <c r="G623" s="1"/>
  <c r="H614"/>
  <c r="H613" s="1"/>
  <c r="H102" s="1"/>
  <c r="G614"/>
  <c r="G613" s="1"/>
  <c r="G102" s="1"/>
  <c r="H612"/>
  <c r="G612"/>
  <c r="H611"/>
  <c r="G611"/>
  <c r="H595"/>
  <c r="G595"/>
  <c r="H594"/>
  <c r="G594"/>
  <c r="H593"/>
  <c r="G593"/>
  <c r="H601"/>
  <c r="H600" s="1"/>
  <c r="H99" s="1"/>
  <c r="G601"/>
  <c r="G600" s="1"/>
  <c r="G99" s="1"/>
  <c r="H599"/>
  <c r="G599"/>
  <c r="H598"/>
  <c r="G598"/>
  <c r="H597"/>
  <c r="G597"/>
  <c r="H596"/>
  <c r="G596"/>
  <c r="H241"/>
  <c r="G241"/>
  <c r="H560"/>
  <c r="G560"/>
  <c r="H559"/>
  <c r="G559"/>
  <c r="H563"/>
  <c r="G563"/>
  <c r="H562"/>
  <c r="G562"/>
  <c r="H561"/>
  <c r="G561"/>
  <c r="H566"/>
  <c r="G566"/>
  <c r="H565"/>
  <c r="G565"/>
  <c r="H564"/>
  <c r="G564"/>
  <c r="H571"/>
  <c r="G571"/>
  <c r="H569"/>
  <c r="G569"/>
  <c r="H568"/>
  <c r="G568"/>
  <c r="H567"/>
  <c r="G567"/>
  <c r="H551"/>
  <c r="H550"/>
  <c r="H549"/>
  <c r="H548"/>
  <c r="H547"/>
  <c r="H546"/>
  <c r="H545"/>
  <c r="H544"/>
  <c r="H554"/>
  <c r="H516"/>
  <c r="H515" s="1"/>
  <c r="H85" s="1"/>
  <c r="G516"/>
  <c r="G515" s="1"/>
  <c r="G85" s="1"/>
  <c r="H514"/>
  <c r="G514"/>
  <c r="H512"/>
  <c r="G512"/>
  <c r="H511"/>
  <c r="G511"/>
  <c r="K108" i="36" l="1"/>
  <c r="J196"/>
  <c r="J206" i="35"/>
  <c r="J196" i="34"/>
  <c r="K61"/>
  <c r="I59"/>
  <c r="K100" i="36"/>
  <c r="I196"/>
  <c r="I206" i="35"/>
  <c r="K165"/>
  <c r="G557" i="30"/>
  <c r="G93" s="1"/>
  <c r="I92"/>
  <c r="H543"/>
  <c r="H557"/>
  <c r="H93" s="1"/>
  <c r="I89"/>
  <c r="H35"/>
  <c r="H646"/>
  <c r="H654" s="1"/>
  <c r="H109"/>
  <c r="G646"/>
  <c r="G654" s="1"/>
  <c r="G109"/>
  <c r="I109" s="1"/>
  <c r="H592"/>
  <c r="H627"/>
  <c r="H106" s="1"/>
  <c r="G510"/>
  <c r="G83" s="1"/>
  <c r="G592"/>
  <c r="G627"/>
  <c r="G106" s="1"/>
  <c r="H625"/>
  <c r="H105" s="1"/>
  <c r="G625"/>
  <c r="G105" s="1"/>
  <c r="I126" i="33"/>
  <c r="J126"/>
  <c r="J18" s="1"/>
  <c r="G661" i="30"/>
  <c r="H661"/>
  <c r="I651"/>
  <c r="I613"/>
  <c r="G610"/>
  <c r="H610"/>
  <c r="I600"/>
  <c r="I515"/>
  <c r="H513"/>
  <c r="H84" s="1"/>
  <c r="H510"/>
  <c r="G513"/>
  <c r="G84" s="1"/>
  <c r="H490"/>
  <c r="G490"/>
  <c r="H491"/>
  <c r="G491"/>
  <c r="H492"/>
  <c r="G492"/>
  <c r="H493"/>
  <c r="G493"/>
  <c r="H470"/>
  <c r="G470"/>
  <c r="H477"/>
  <c r="G477"/>
  <c r="H469"/>
  <c r="G469"/>
  <c r="H474"/>
  <c r="G474"/>
  <c r="H473"/>
  <c r="G473"/>
  <c r="H472"/>
  <c r="G472"/>
  <c r="H471"/>
  <c r="G471"/>
  <c r="H494"/>
  <c r="G494"/>
  <c r="H488"/>
  <c r="G488"/>
  <c r="H487"/>
  <c r="G487"/>
  <c r="H486"/>
  <c r="G486"/>
  <c r="H485"/>
  <c r="G485"/>
  <c r="H484"/>
  <c r="G484"/>
  <c r="H483"/>
  <c r="G483"/>
  <c r="H481"/>
  <c r="H480" s="1"/>
  <c r="H79" s="1"/>
  <c r="G481"/>
  <c r="G480" s="1"/>
  <c r="G79" s="1"/>
  <c r="H476"/>
  <c r="G476"/>
  <c r="H479"/>
  <c r="G479"/>
  <c r="H478"/>
  <c r="G478"/>
  <c r="H475"/>
  <c r="G475"/>
  <c r="H466"/>
  <c r="H465" s="1"/>
  <c r="H77" s="1"/>
  <c r="G466"/>
  <c r="G465" s="1"/>
  <c r="H450"/>
  <c r="H449" s="1"/>
  <c r="H75" s="1"/>
  <c r="G450"/>
  <c r="H444"/>
  <c r="G444"/>
  <c r="H443"/>
  <c r="G443"/>
  <c r="H445"/>
  <c r="G445"/>
  <c r="H442"/>
  <c r="G442"/>
  <c r="H441"/>
  <c r="G441"/>
  <c r="H448"/>
  <c r="G448"/>
  <c r="H447"/>
  <c r="G447"/>
  <c r="H446"/>
  <c r="G446"/>
  <c r="H440"/>
  <c r="G440"/>
  <c r="H433"/>
  <c r="G433"/>
  <c r="H431"/>
  <c r="G431"/>
  <c r="H430"/>
  <c r="G430"/>
  <c r="H429"/>
  <c r="G429"/>
  <c r="H438"/>
  <c r="H437" s="1"/>
  <c r="H73" s="1"/>
  <c r="G438"/>
  <c r="H428"/>
  <c r="G428"/>
  <c r="H427"/>
  <c r="G427"/>
  <c r="H425"/>
  <c r="H424" s="1"/>
  <c r="G425"/>
  <c r="G424" s="1"/>
  <c r="H404"/>
  <c r="G404"/>
  <c r="H405"/>
  <c r="G405"/>
  <c r="H406"/>
  <c r="G406"/>
  <c r="H407"/>
  <c r="G407"/>
  <c r="H408"/>
  <c r="G408"/>
  <c r="H402"/>
  <c r="G402"/>
  <c r="H401"/>
  <c r="G401"/>
  <c r="H400"/>
  <c r="G400"/>
  <c r="H399"/>
  <c r="G399"/>
  <c r="H398"/>
  <c r="G398"/>
  <c r="H381"/>
  <c r="H380" s="1"/>
  <c r="H54" s="1"/>
  <c r="G381"/>
  <c r="H363"/>
  <c r="G363"/>
  <c r="H362"/>
  <c r="G362"/>
  <c r="H365"/>
  <c r="G365"/>
  <c r="H364"/>
  <c r="G364"/>
  <c r="H368"/>
  <c r="G368"/>
  <c r="H367"/>
  <c r="G367"/>
  <c r="H366"/>
  <c r="G366"/>
  <c r="H371"/>
  <c r="G371"/>
  <c r="H370"/>
  <c r="G370"/>
  <c r="H369"/>
  <c r="G369"/>
  <c r="H379"/>
  <c r="I379" s="1"/>
  <c r="G379"/>
  <c r="H378"/>
  <c r="I378" s="1"/>
  <c r="G378"/>
  <c r="H377"/>
  <c r="I377" s="1"/>
  <c r="I376" s="1"/>
  <c r="G377"/>
  <c r="G376" s="1"/>
  <c r="H375"/>
  <c r="H374" s="1"/>
  <c r="H53" s="1"/>
  <c r="G375"/>
  <c r="G374" s="1"/>
  <c r="G53" s="1"/>
  <c r="H334"/>
  <c r="G334"/>
  <c r="H338"/>
  <c r="G338"/>
  <c r="H330"/>
  <c r="G330"/>
  <c r="H325"/>
  <c r="H324" s="1"/>
  <c r="G325"/>
  <c r="H299"/>
  <c r="G299"/>
  <c r="H300"/>
  <c r="G300"/>
  <c r="H301"/>
  <c r="G301"/>
  <c r="H308"/>
  <c r="I308" s="1"/>
  <c r="G308"/>
  <c r="H307"/>
  <c r="I307" s="1"/>
  <c r="G307"/>
  <c r="H306"/>
  <c r="I306" s="1"/>
  <c r="I305" s="1"/>
  <c r="G306"/>
  <c r="G305" s="1"/>
  <c r="H304"/>
  <c r="H303" s="1"/>
  <c r="H42" s="1"/>
  <c r="G304"/>
  <c r="H302"/>
  <c r="G302"/>
  <c r="H298"/>
  <c r="G298"/>
  <c r="H284"/>
  <c r="G284"/>
  <c r="H282"/>
  <c r="G282"/>
  <c r="H281"/>
  <c r="H280" s="1"/>
  <c r="G281"/>
  <c r="G222"/>
  <c r="H222"/>
  <c r="G223"/>
  <c r="H223"/>
  <c r="G224"/>
  <c r="H224"/>
  <c r="G225"/>
  <c r="H225"/>
  <c r="G226"/>
  <c r="H226"/>
  <c r="G227"/>
  <c r="H227"/>
  <c r="G251"/>
  <c r="G250" s="1"/>
  <c r="H251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4"/>
  <c r="H244"/>
  <c r="G245"/>
  <c r="H245"/>
  <c r="G246"/>
  <c r="H246"/>
  <c r="G247"/>
  <c r="H247"/>
  <c r="G248"/>
  <c r="H248"/>
  <c r="G249"/>
  <c r="H249"/>
  <c r="G242"/>
  <c r="H242"/>
  <c r="H221"/>
  <c r="G221"/>
  <c r="H197"/>
  <c r="H196" s="1"/>
  <c r="G197"/>
  <c r="G196" s="1"/>
  <c r="G29" s="1"/>
  <c r="G28" s="1"/>
  <c r="H188"/>
  <c r="G188"/>
  <c r="H179"/>
  <c r="H178" s="1"/>
  <c r="G179"/>
  <c r="G178" s="1"/>
  <c r="H168"/>
  <c r="H167" s="1"/>
  <c r="G168"/>
  <c r="G167" s="1"/>
  <c r="H258"/>
  <c r="H256" s="1"/>
  <c r="H33" s="1"/>
  <c r="G258"/>
  <c r="G256" s="1"/>
  <c r="G33" s="1"/>
  <c r="H139"/>
  <c r="H138" s="1"/>
  <c r="H17" s="1"/>
  <c r="G139"/>
  <c r="H129"/>
  <c r="J874" i="31"/>
  <c r="J873" s="1"/>
  <c r="J190" s="1"/>
  <c r="I874"/>
  <c r="I873" s="1"/>
  <c r="I190" s="1"/>
  <c r="J872"/>
  <c r="I872"/>
  <c r="J871"/>
  <c r="I871"/>
  <c r="J870"/>
  <c r="I870"/>
  <c r="J914"/>
  <c r="I914"/>
  <c r="J913"/>
  <c r="I913"/>
  <c r="J911"/>
  <c r="J910" s="1"/>
  <c r="J22" s="1"/>
  <c r="I911"/>
  <c r="I910" s="1"/>
  <c r="I22" s="1"/>
  <c r="J909"/>
  <c r="I909"/>
  <c r="J908"/>
  <c r="I908"/>
  <c r="J907"/>
  <c r="I907"/>
  <c r="J906"/>
  <c r="I906"/>
  <c r="J1069"/>
  <c r="J1068" s="1"/>
  <c r="J159" s="1"/>
  <c r="I1069"/>
  <c r="I1068" s="1"/>
  <c r="I159" s="1"/>
  <c r="J1067"/>
  <c r="J1066" s="1"/>
  <c r="J158" s="1"/>
  <c r="I1067"/>
  <c r="I1066" s="1"/>
  <c r="I158" s="1"/>
  <c r="J1065"/>
  <c r="I1065"/>
  <c r="J1064"/>
  <c r="I1064"/>
  <c r="J1063"/>
  <c r="I1063"/>
  <c r="J1062"/>
  <c r="I1062"/>
  <c r="J1061"/>
  <c r="I1061"/>
  <c r="J942"/>
  <c r="I942"/>
  <c r="J941"/>
  <c r="I941"/>
  <c r="J939"/>
  <c r="J938" s="1"/>
  <c r="J34" s="1"/>
  <c r="I939"/>
  <c r="I938" s="1"/>
  <c r="I34" s="1"/>
  <c r="J937"/>
  <c r="I937"/>
  <c r="J936"/>
  <c r="I936"/>
  <c r="J935"/>
  <c r="I935"/>
  <c r="J934"/>
  <c r="I934"/>
  <c r="J933"/>
  <c r="I933"/>
  <c r="J932"/>
  <c r="I932"/>
  <c r="J1045"/>
  <c r="J1044" s="1"/>
  <c r="J155" s="1"/>
  <c r="I1045"/>
  <c r="I1044" s="1"/>
  <c r="I155" s="1"/>
  <c r="J1043"/>
  <c r="J1042" s="1"/>
  <c r="J154" s="1"/>
  <c r="I1043"/>
  <c r="I1042" s="1"/>
  <c r="I154" s="1"/>
  <c r="J1041"/>
  <c r="I1041"/>
  <c r="J1040"/>
  <c r="I1040"/>
  <c r="J1039"/>
  <c r="I1039"/>
  <c r="J1038"/>
  <c r="I1038"/>
  <c r="J1037"/>
  <c r="I1037"/>
  <c r="J1036"/>
  <c r="I1036"/>
  <c r="J1035"/>
  <c r="I1035"/>
  <c r="J1034"/>
  <c r="I1034"/>
  <c r="J1033"/>
  <c r="I1033"/>
  <c r="J1031"/>
  <c r="J1030" s="1"/>
  <c r="J152" s="1"/>
  <c r="I1031"/>
  <c r="I1030" s="1"/>
  <c r="I152" s="1"/>
  <c r="J900"/>
  <c r="I900"/>
  <c r="J899"/>
  <c r="I899"/>
  <c r="J897"/>
  <c r="J896" s="1"/>
  <c r="J18" s="1"/>
  <c r="I897"/>
  <c r="I896" s="1"/>
  <c r="I18" s="1"/>
  <c r="J895"/>
  <c r="I895"/>
  <c r="J894"/>
  <c r="I894"/>
  <c r="J893"/>
  <c r="I893"/>
  <c r="J892"/>
  <c r="I892"/>
  <c r="J891"/>
  <c r="I891"/>
  <c r="J890"/>
  <c r="I890"/>
  <c r="J1119"/>
  <c r="I1119"/>
  <c r="J1118"/>
  <c r="I1118"/>
  <c r="J1116"/>
  <c r="J1115" s="1"/>
  <c r="J168" s="1"/>
  <c r="I1116"/>
  <c r="I1115" s="1"/>
  <c r="I168" s="1"/>
  <c r="J1114"/>
  <c r="I1114"/>
  <c r="J1113"/>
  <c r="I1113"/>
  <c r="J1112"/>
  <c r="I1112"/>
  <c r="J1111"/>
  <c r="I1111"/>
  <c r="J1110"/>
  <c r="I1110"/>
  <c r="J1109"/>
  <c r="I1109"/>
  <c r="J1107"/>
  <c r="I1107"/>
  <c r="J1106"/>
  <c r="I1106"/>
  <c r="J1105"/>
  <c r="I1105"/>
  <c r="J1138"/>
  <c r="I1138"/>
  <c r="J1137"/>
  <c r="I1137"/>
  <c r="J1135"/>
  <c r="J1134" s="1"/>
  <c r="J193" s="1"/>
  <c r="I1135"/>
  <c r="I1134" s="1"/>
  <c r="I193" s="1"/>
  <c r="J1133"/>
  <c r="I1133"/>
  <c r="J1132"/>
  <c r="I1132"/>
  <c r="J1131"/>
  <c r="I1131"/>
  <c r="J1130"/>
  <c r="I1130"/>
  <c r="J1129"/>
  <c r="I1129"/>
  <c r="J1128"/>
  <c r="I1128"/>
  <c r="J1127"/>
  <c r="I1127"/>
  <c r="J1126"/>
  <c r="I1126"/>
  <c r="J1024"/>
  <c r="J1023" s="1"/>
  <c r="J150" s="1"/>
  <c r="I1024"/>
  <c r="I1023" s="1"/>
  <c r="I150" s="1"/>
  <c r="J1022"/>
  <c r="I1022"/>
  <c r="J1021"/>
  <c r="I1021"/>
  <c r="J1020"/>
  <c r="I1020"/>
  <c r="J1018"/>
  <c r="J1017" s="1"/>
  <c r="J148" s="1"/>
  <c r="I1018"/>
  <c r="I1017" s="1"/>
  <c r="I148" s="1"/>
  <c r="J993"/>
  <c r="I993"/>
  <c r="J992"/>
  <c r="I992"/>
  <c r="J991"/>
  <c r="I991"/>
  <c r="J989"/>
  <c r="J988" s="1"/>
  <c r="J145" s="1"/>
  <c r="I989"/>
  <c r="I988" s="1"/>
  <c r="I145" s="1"/>
  <c r="J987"/>
  <c r="I987"/>
  <c r="J986"/>
  <c r="I986"/>
  <c r="J985"/>
  <c r="I985"/>
  <c r="J984"/>
  <c r="I984"/>
  <c r="J983"/>
  <c r="I983"/>
  <c r="J981"/>
  <c r="I981"/>
  <c r="J980"/>
  <c r="I980"/>
  <c r="J979"/>
  <c r="I979"/>
  <c r="J978"/>
  <c r="I978"/>
  <c r="J977"/>
  <c r="I977"/>
  <c r="J976"/>
  <c r="I976"/>
  <c r="J958"/>
  <c r="J957" s="1"/>
  <c r="J42" s="1"/>
  <c r="I958"/>
  <c r="I957" s="1"/>
  <c r="I42" s="1"/>
  <c r="J956"/>
  <c r="J955" s="1"/>
  <c r="J41" s="1"/>
  <c r="I956"/>
  <c r="I955" s="1"/>
  <c r="I41" s="1"/>
  <c r="J954"/>
  <c r="I954"/>
  <c r="J953"/>
  <c r="I953"/>
  <c r="J952"/>
  <c r="I952"/>
  <c r="J951"/>
  <c r="I951"/>
  <c r="J950"/>
  <c r="I950"/>
  <c r="J948"/>
  <c r="J947" s="1"/>
  <c r="J39" s="1"/>
  <c r="I948"/>
  <c r="I947" s="1"/>
  <c r="I39" s="1"/>
  <c r="J1088"/>
  <c r="I1088"/>
  <c r="J1087"/>
  <c r="I1087"/>
  <c r="J1085"/>
  <c r="J1084" s="1"/>
  <c r="J163" s="1"/>
  <c r="I1085"/>
  <c r="I1084" s="1"/>
  <c r="I163" s="1"/>
  <c r="J1083"/>
  <c r="I1083"/>
  <c r="J1082"/>
  <c r="I1082"/>
  <c r="J1081"/>
  <c r="I1081"/>
  <c r="J1080"/>
  <c r="I1080"/>
  <c r="J1079"/>
  <c r="I1079"/>
  <c r="J1078"/>
  <c r="I1078"/>
  <c r="J1076"/>
  <c r="I1076"/>
  <c r="J1075"/>
  <c r="I1075"/>
  <c r="J863"/>
  <c r="I863"/>
  <c r="J862"/>
  <c r="I862"/>
  <c r="J860"/>
  <c r="J859" s="1"/>
  <c r="J186" s="1"/>
  <c r="I860"/>
  <c r="I859" s="1"/>
  <c r="I186" s="1"/>
  <c r="J858"/>
  <c r="I858"/>
  <c r="J857"/>
  <c r="I857"/>
  <c r="J856"/>
  <c r="I856"/>
  <c r="J855"/>
  <c r="I855"/>
  <c r="J854"/>
  <c r="I854"/>
  <c r="J853"/>
  <c r="I853"/>
  <c r="J756"/>
  <c r="J755" s="1"/>
  <c r="J31" s="1"/>
  <c r="I756"/>
  <c r="I755" s="1"/>
  <c r="I31" s="1"/>
  <c r="J754"/>
  <c r="J753" s="1"/>
  <c r="J30" s="1"/>
  <c r="I754"/>
  <c r="I753" s="1"/>
  <c r="I30" s="1"/>
  <c r="J752"/>
  <c r="I752"/>
  <c r="J751"/>
  <c r="I751"/>
  <c r="J750"/>
  <c r="I750"/>
  <c r="J749"/>
  <c r="I749"/>
  <c r="J748"/>
  <c r="I748"/>
  <c r="J742"/>
  <c r="J741" s="1"/>
  <c r="J15" s="1"/>
  <c r="I742"/>
  <c r="I741" s="1"/>
  <c r="I15" s="1"/>
  <c r="J740"/>
  <c r="J739" s="1"/>
  <c r="J14" s="1"/>
  <c r="I740"/>
  <c r="I739" s="1"/>
  <c r="I14" s="1"/>
  <c r="J738"/>
  <c r="I738"/>
  <c r="J737"/>
  <c r="I737"/>
  <c r="J736"/>
  <c r="I736"/>
  <c r="J735"/>
  <c r="I735"/>
  <c r="J795"/>
  <c r="J794" s="1"/>
  <c r="J113" s="1"/>
  <c r="I795"/>
  <c r="I794" s="1"/>
  <c r="I113" s="1"/>
  <c r="J793"/>
  <c r="I793"/>
  <c r="J792"/>
  <c r="I792"/>
  <c r="J791"/>
  <c r="I791"/>
  <c r="J763"/>
  <c r="I763"/>
  <c r="J762"/>
  <c r="I762"/>
  <c r="J785"/>
  <c r="I785"/>
  <c r="J784"/>
  <c r="I784"/>
  <c r="J782"/>
  <c r="I782"/>
  <c r="J781"/>
  <c r="I781"/>
  <c r="J780"/>
  <c r="I780"/>
  <c r="J779"/>
  <c r="I779"/>
  <c r="J837"/>
  <c r="I837"/>
  <c r="J836"/>
  <c r="I836"/>
  <c r="J835"/>
  <c r="I835"/>
  <c r="J833"/>
  <c r="J832" s="1"/>
  <c r="J178" s="1"/>
  <c r="I833"/>
  <c r="I832" s="1"/>
  <c r="I178" s="1"/>
  <c r="J831"/>
  <c r="I831"/>
  <c r="J830"/>
  <c r="I830"/>
  <c r="J829"/>
  <c r="I829"/>
  <c r="J828"/>
  <c r="I828"/>
  <c r="J827"/>
  <c r="I827"/>
  <c r="J826"/>
  <c r="I826"/>
  <c r="J825"/>
  <c r="I825"/>
  <c r="J824"/>
  <c r="I824"/>
  <c r="J823"/>
  <c r="I823"/>
  <c r="J808"/>
  <c r="J807" s="1"/>
  <c r="J118" s="1"/>
  <c r="I808"/>
  <c r="I807" s="1"/>
  <c r="I118" s="1"/>
  <c r="J806"/>
  <c r="I806"/>
  <c r="J805"/>
  <c r="I805"/>
  <c r="J804"/>
  <c r="I804"/>
  <c r="J803"/>
  <c r="I803"/>
  <c r="J802"/>
  <c r="I802"/>
  <c r="J801"/>
  <c r="I801"/>
  <c r="J621"/>
  <c r="I621"/>
  <c r="J620"/>
  <c r="I620"/>
  <c r="J618"/>
  <c r="J617" s="1"/>
  <c r="J140" s="1"/>
  <c r="I618"/>
  <c r="I617" s="1"/>
  <c r="I140" s="1"/>
  <c r="J616"/>
  <c r="I616"/>
  <c r="J615"/>
  <c r="I615"/>
  <c r="J614"/>
  <c r="I614"/>
  <c r="J613"/>
  <c r="I613"/>
  <c r="J612"/>
  <c r="I612"/>
  <c r="J611"/>
  <c r="I611"/>
  <c r="J610"/>
  <c r="I610"/>
  <c r="J609"/>
  <c r="I609"/>
  <c r="J607"/>
  <c r="I607"/>
  <c r="J606"/>
  <c r="I606"/>
  <c r="J605"/>
  <c r="I605"/>
  <c r="J604"/>
  <c r="I604"/>
  <c r="J670"/>
  <c r="I670"/>
  <c r="J669"/>
  <c r="I669"/>
  <c r="J668"/>
  <c r="I668"/>
  <c r="J667"/>
  <c r="I667"/>
  <c r="J666"/>
  <c r="I666"/>
  <c r="J665"/>
  <c r="I665"/>
  <c r="J664"/>
  <c r="I664"/>
  <c r="J663"/>
  <c r="I663"/>
  <c r="J661"/>
  <c r="I661"/>
  <c r="J660"/>
  <c r="I660"/>
  <c r="J658"/>
  <c r="I658"/>
  <c r="J657"/>
  <c r="I657"/>
  <c r="J655"/>
  <c r="J654" s="1"/>
  <c r="J172" s="1"/>
  <c r="I655"/>
  <c r="I654" s="1"/>
  <c r="I172" s="1"/>
  <c r="J653"/>
  <c r="I653"/>
  <c r="J652"/>
  <c r="I652"/>
  <c r="J651"/>
  <c r="I651"/>
  <c r="J650"/>
  <c r="I650"/>
  <c r="J649"/>
  <c r="I649"/>
  <c r="J289"/>
  <c r="J288" s="1"/>
  <c r="I289"/>
  <c r="I288" s="1"/>
  <c r="K288"/>
  <c r="J287"/>
  <c r="I287"/>
  <c r="J286"/>
  <c r="I286"/>
  <c r="J285"/>
  <c r="I285"/>
  <c r="J284"/>
  <c r="I284"/>
  <c r="J283"/>
  <c r="I283"/>
  <c r="J282"/>
  <c r="I282"/>
  <c r="J281"/>
  <c r="I281"/>
  <c r="J280"/>
  <c r="I280"/>
  <c r="J278"/>
  <c r="J277" s="1"/>
  <c r="J25" s="1"/>
  <c r="I278"/>
  <c r="I277" s="1"/>
  <c r="I25" s="1"/>
  <c r="J707"/>
  <c r="I707"/>
  <c r="J706"/>
  <c r="I706"/>
  <c r="J704"/>
  <c r="J703" s="1"/>
  <c r="J182" s="1"/>
  <c r="I704"/>
  <c r="I703" s="1"/>
  <c r="I182" s="1"/>
  <c r="J702"/>
  <c r="I702"/>
  <c r="J701"/>
  <c r="I701"/>
  <c r="J700"/>
  <c r="I700"/>
  <c r="J699"/>
  <c r="I699"/>
  <c r="J698"/>
  <c r="I698"/>
  <c r="J697"/>
  <c r="I697"/>
  <c r="J322"/>
  <c r="J54" s="1"/>
  <c r="I322"/>
  <c r="I54" s="1"/>
  <c r="J315"/>
  <c r="I315"/>
  <c r="J314"/>
  <c r="I314"/>
  <c r="J313"/>
  <c r="I313"/>
  <c r="J308"/>
  <c r="I308"/>
  <c r="J311"/>
  <c r="I311"/>
  <c r="J310"/>
  <c r="I310"/>
  <c r="J309"/>
  <c r="I309"/>
  <c r="J307"/>
  <c r="I307"/>
  <c r="J306"/>
  <c r="I306"/>
  <c r="J578"/>
  <c r="I578"/>
  <c r="J577"/>
  <c r="I577"/>
  <c r="J576"/>
  <c r="I576"/>
  <c r="J575"/>
  <c r="I575"/>
  <c r="J574"/>
  <c r="I574"/>
  <c r="J573"/>
  <c r="I573"/>
  <c r="J572"/>
  <c r="I572"/>
  <c r="J571"/>
  <c r="I571"/>
  <c r="J458"/>
  <c r="I458"/>
  <c r="J457"/>
  <c r="I457"/>
  <c r="J456"/>
  <c r="I456"/>
  <c r="J455"/>
  <c r="I455"/>
  <c r="J453"/>
  <c r="J452" s="1"/>
  <c r="J91" s="1"/>
  <c r="I453"/>
  <c r="I452" s="1"/>
  <c r="I91" s="1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0"/>
  <c r="J439" s="1"/>
  <c r="J89" s="1"/>
  <c r="I440"/>
  <c r="I439" s="1"/>
  <c r="I89" s="1"/>
  <c r="J380"/>
  <c r="J379" s="1"/>
  <c r="J78" s="1"/>
  <c r="I380"/>
  <c r="I379" s="1"/>
  <c r="I78" s="1"/>
  <c r="J378"/>
  <c r="J377" s="1"/>
  <c r="J77" s="1"/>
  <c r="I378"/>
  <c r="I377" s="1"/>
  <c r="I77" s="1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I367"/>
  <c r="J365"/>
  <c r="J364" s="1"/>
  <c r="I365"/>
  <c r="I364" s="1"/>
  <c r="J491"/>
  <c r="J490" s="1"/>
  <c r="J96" s="1"/>
  <c r="I491"/>
  <c r="I490" s="1"/>
  <c r="I96" s="1"/>
  <c r="K490"/>
  <c r="J489"/>
  <c r="J488" s="1"/>
  <c r="J95" s="1"/>
  <c r="I489"/>
  <c r="I488" s="1"/>
  <c r="I95" s="1"/>
  <c r="J487"/>
  <c r="I487"/>
  <c r="J486"/>
  <c r="I486"/>
  <c r="J485"/>
  <c r="I485"/>
  <c r="J484"/>
  <c r="I484"/>
  <c r="J483"/>
  <c r="I483"/>
  <c r="J339"/>
  <c r="J338" s="1"/>
  <c r="J58" s="1"/>
  <c r="I339"/>
  <c r="I338" s="1"/>
  <c r="I58" s="1"/>
  <c r="J337"/>
  <c r="I337"/>
  <c r="J336"/>
  <c r="I336"/>
  <c r="J335"/>
  <c r="I335"/>
  <c r="J334"/>
  <c r="I334"/>
  <c r="J333"/>
  <c r="I333"/>
  <c r="J331"/>
  <c r="J330" s="1"/>
  <c r="J56" s="1"/>
  <c r="I331"/>
  <c r="I330" s="1"/>
  <c r="I56" s="1"/>
  <c r="J536"/>
  <c r="I536"/>
  <c r="J535"/>
  <c r="I535"/>
  <c r="J534"/>
  <c r="I534"/>
  <c r="J533"/>
  <c r="I533"/>
  <c r="J531"/>
  <c r="J530" s="1"/>
  <c r="J103" s="1"/>
  <c r="I531"/>
  <c r="I530" s="1"/>
  <c r="I103" s="1"/>
  <c r="J529"/>
  <c r="I529"/>
  <c r="J528"/>
  <c r="I528"/>
  <c r="J527"/>
  <c r="I527"/>
  <c r="J526"/>
  <c r="I526"/>
  <c r="J525"/>
  <c r="I525"/>
  <c r="J524"/>
  <c r="I524"/>
  <c r="J523"/>
  <c r="I523"/>
  <c r="J522"/>
  <c r="I522"/>
  <c r="J521"/>
  <c r="I521"/>
  <c r="J520"/>
  <c r="I520"/>
  <c r="J518"/>
  <c r="J517" s="1"/>
  <c r="J101" s="1"/>
  <c r="I518"/>
  <c r="I517" s="1"/>
  <c r="I101" s="1"/>
  <c r="J565"/>
  <c r="J564" s="1"/>
  <c r="J107" s="1"/>
  <c r="I565"/>
  <c r="I564" s="1"/>
  <c r="I107" s="1"/>
  <c r="K564"/>
  <c r="J563"/>
  <c r="I563"/>
  <c r="J562"/>
  <c r="I562"/>
  <c r="J561"/>
  <c r="I561"/>
  <c r="J407"/>
  <c r="I407"/>
  <c r="J406"/>
  <c r="I406"/>
  <c r="K405"/>
  <c r="J404"/>
  <c r="J403" s="1"/>
  <c r="J81" s="1"/>
  <c r="I404"/>
  <c r="I403" s="1"/>
  <c r="I81" s="1"/>
  <c r="J402"/>
  <c r="I402"/>
  <c r="J401"/>
  <c r="I401"/>
  <c r="J400"/>
  <c r="I400"/>
  <c r="J399"/>
  <c r="I399"/>
  <c r="J398"/>
  <c r="I398"/>
  <c r="J502"/>
  <c r="I502"/>
  <c r="J501"/>
  <c r="I501"/>
  <c r="J500"/>
  <c r="I500"/>
  <c r="J499"/>
  <c r="I499"/>
  <c r="J497"/>
  <c r="J496" s="1"/>
  <c r="J98" s="1"/>
  <c r="I497"/>
  <c r="I496" s="1"/>
  <c r="I98" s="1"/>
  <c r="J359"/>
  <c r="J358" s="1"/>
  <c r="I359"/>
  <c r="I358" s="1"/>
  <c r="J357"/>
  <c r="I357"/>
  <c r="J356"/>
  <c r="I356"/>
  <c r="J355"/>
  <c r="I355"/>
  <c r="J421"/>
  <c r="J420" s="1"/>
  <c r="J87" s="1"/>
  <c r="I421"/>
  <c r="I420" s="1"/>
  <c r="J419"/>
  <c r="J418" s="1"/>
  <c r="I419"/>
  <c r="I418" s="1"/>
  <c r="J417"/>
  <c r="I417"/>
  <c r="J416"/>
  <c r="I416"/>
  <c r="J415"/>
  <c r="I415"/>
  <c r="J413"/>
  <c r="J412" s="1"/>
  <c r="J84" s="1"/>
  <c r="I413"/>
  <c r="I412" s="1"/>
  <c r="J249"/>
  <c r="I249"/>
  <c r="J248"/>
  <c r="I248"/>
  <c r="J246"/>
  <c r="I246"/>
  <c r="J245"/>
  <c r="I245"/>
  <c r="J244"/>
  <c r="I244"/>
  <c r="J243"/>
  <c r="I243"/>
  <c r="J242"/>
  <c r="I242"/>
  <c r="J241"/>
  <c r="I241"/>
  <c r="J240"/>
  <c r="I240"/>
  <c r="J239"/>
  <c r="I239"/>
  <c r="J221"/>
  <c r="J220" s="1"/>
  <c r="J123" s="1"/>
  <c r="I221"/>
  <c r="I220" s="1"/>
  <c r="I123" s="1"/>
  <c r="J216"/>
  <c r="J213" s="1"/>
  <c r="J121" s="1"/>
  <c r="I216"/>
  <c r="I213" s="1"/>
  <c r="I121" s="1"/>
  <c r="H288" i="30"/>
  <c r="I288" s="1"/>
  <c r="G288"/>
  <c r="H287"/>
  <c r="I287" s="1"/>
  <c r="G287"/>
  <c r="H286"/>
  <c r="I286" s="1"/>
  <c r="I285" s="1"/>
  <c r="G286"/>
  <c r="G285" s="1"/>
  <c r="H140"/>
  <c r="H18" s="1"/>
  <c r="G18"/>
  <c r="I102"/>
  <c r="K206" i="35" l="1"/>
  <c r="K196" i="36"/>
  <c r="K59" i="34"/>
  <c r="I196"/>
  <c r="K196" s="1"/>
  <c r="I659" i="31"/>
  <c r="I174" s="1"/>
  <c r="G333" i="30"/>
  <c r="G46" s="1"/>
  <c r="G82"/>
  <c r="H333"/>
  <c r="H46" s="1"/>
  <c r="J659" i="31"/>
  <c r="J174" s="1"/>
  <c r="K175"/>
  <c r="I237"/>
  <c r="I44" s="1"/>
  <c r="J304"/>
  <c r="J50" s="1"/>
  <c r="J237"/>
  <c r="J44" s="1"/>
  <c r="I304"/>
  <c r="I50" s="1"/>
  <c r="J149" i="33"/>
  <c r="J148" s="1"/>
  <c r="J53" s="1"/>
  <c r="K53" s="1"/>
  <c r="I122"/>
  <c r="H220" i="30"/>
  <c r="G578"/>
  <c r="G521"/>
  <c r="H83"/>
  <c r="H82" s="1"/>
  <c r="H521"/>
  <c r="G280"/>
  <c r="G324"/>
  <c r="H578"/>
  <c r="H250"/>
  <c r="H32" s="1"/>
  <c r="G303"/>
  <c r="G42" s="1"/>
  <c r="I42" s="1"/>
  <c r="G77"/>
  <c r="I77" s="1"/>
  <c r="G297"/>
  <c r="I646"/>
  <c r="G108"/>
  <c r="G107" s="1"/>
  <c r="H108"/>
  <c r="H107" s="1"/>
  <c r="H283"/>
  <c r="H290" s="1"/>
  <c r="G283"/>
  <c r="G220"/>
  <c r="H297"/>
  <c r="G426"/>
  <c r="G71" s="1"/>
  <c r="H426"/>
  <c r="H71" s="1"/>
  <c r="G449"/>
  <c r="I449" s="1"/>
  <c r="G439"/>
  <c r="H104"/>
  <c r="H103" s="1"/>
  <c r="I93"/>
  <c r="H22"/>
  <c r="H21" s="1"/>
  <c r="H172"/>
  <c r="G138"/>
  <c r="G17" s="1"/>
  <c r="I261"/>
  <c r="G22"/>
  <c r="G172"/>
  <c r="G32"/>
  <c r="H467"/>
  <c r="H78" s="1"/>
  <c r="G467"/>
  <c r="G380"/>
  <c r="I380" s="1"/>
  <c r="G361"/>
  <c r="G51" s="1"/>
  <c r="I105"/>
  <c r="G633"/>
  <c r="I625"/>
  <c r="G104"/>
  <c r="I125" i="33"/>
  <c r="J141"/>
  <c r="J140" s="1"/>
  <c r="J46" s="1"/>
  <c r="J125"/>
  <c r="I141"/>
  <c r="K126"/>
  <c r="I18"/>
  <c r="J122"/>
  <c r="J133"/>
  <c r="I79" i="30"/>
  <c r="I84"/>
  <c r="I106"/>
  <c r="G616"/>
  <c r="G101"/>
  <c r="G667"/>
  <c r="G111"/>
  <c r="G88"/>
  <c r="H616"/>
  <c r="H101"/>
  <c r="H100" s="1"/>
  <c r="H667"/>
  <c r="H111"/>
  <c r="H91"/>
  <c r="H88" s="1"/>
  <c r="H199"/>
  <c r="H29"/>
  <c r="I29" s="1"/>
  <c r="G187"/>
  <c r="G190" s="1"/>
  <c r="G27"/>
  <c r="G26" s="1"/>
  <c r="I85"/>
  <c r="I99"/>
  <c r="I86"/>
  <c r="G181"/>
  <c r="G25"/>
  <c r="I18"/>
  <c r="I53"/>
  <c r="H181"/>
  <c r="H25"/>
  <c r="H24" s="1"/>
  <c r="I95"/>
  <c r="H187"/>
  <c r="H190" s="1"/>
  <c r="H27"/>
  <c r="I661"/>
  <c r="I627"/>
  <c r="H633"/>
  <c r="I623"/>
  <c r="I610"/>
  <c r="I557"/>
  <c r="I513"/>
  <c r="I517"/>
  <c r="I510"/>
  <c r="I480"/>
  <c r="G74"/>
  <c r="H489"/>
  <c r="H81" s="1"/>
  <c r="G78"/>
  <c r="G489"/>
  <c r="G81" s="1"/>
  <c r="G482"/>
  <c r="G80" s="1"/>
  <c r="H439"/>
  <c r="H74" s="1"/>
  <c r="H482"/>
  <c r="H80" s="1"/>
  <c r="I465"/>
  <c r="G403"/>
  <c r="G57" s="1"/>
  <c r="G397"/>
  <c r="G56" s="1"/>
  <c r="G437"/>
  <c r="G73" s="1"/>
  <c r="I73" s="1"/>
  <c r="H403"/>
  <c r="H57" s="1"/>
  <c r="H361"/>
  <c r="H397"/>
  <c r="H56" s="1"/>
  <c r="I374"/>
  <c r="H376"/>
  <c r="H305"/>
  <c r="I196"/>
  <c r="I199" s="1"/>
  <c r="H38"/>
  <c r="I140"/>
  <c r="G199"/>
  <c r="I178"/>
  <c r="I181" s="1"/>
  <c r="H285"/>
  <c r="K22" i="31"/>
  <c r="J869"/>
  <c r="K873"/>
  <c r="I869"/>
  <c r="K18"/>
  <c r="K152"/>
  <c r="K158"/>
  <c r="K155"/>
  <c r="K163"/>
  <c r="J1086"/>
  <c r="J164" s="1"/>
  <c r="K145"/>
  <c r="K150"/>
  <c r="K159"/>
  <c r="K168"/>
  <c r="K34"/>
  <c r="K154"/>
  <c r="J608"/>
  <c r="J139" s="1"/>
  <c r="K178"/>
  <c r="J1136"/>
  <c r="J194" s="1"/>
  <c r="K15"/>
  <c r="K39"/>
  <c r="K42"/>
  <c r="K148"/>
  <c r="K30"/>
  <c r="K14"/>
  <c r="K113"/>
  <c r="K31"/>
  <c r="K186"/>
  <c r="K41"/>
  <c r="K78"/>
  <c r="J778"/>
  <c r="J109" s="1"/>
  <c r="J747"/>
  <c r="J29" s="1"/>
  <c r="K118"/>
  <c r="J441"/>
  <c r="J90" s="1"/>
  <c r="K140"/>
  <c r="K172"/>
  <c r="J27"/>
  <c r="I27"/>
  <c r="K54"/>
  <c r="J822"/>
  <c r="J177" s="1"/>
  <c r="K182"/>
  <c r="K25"/>
  <c r="K96"/>
  <c r="K91"/>
  <c r="J705"/>
  <c r="J183" s="1"/>
  <c r="I397"/>
  <c r="I80" s="1"/>
  <c r="J332"/>
  <c r="J57" s="1"/>
  <c r="J55" s="1"/>
  <c r="K52"/>
  <c r="J800"/>
  <c r="J117" s="1"/>
  <c r="K98"/>
  <c r="K955"/>
  <c r="K107"/>
  <c r="I482"/>
  <c r="I94" s="1"/>
  <c r="I93" s="1"/>
  <c r="J1077"/>
  <c r="J162" s="1"/>
  <c r="J990"/>
  <c r="J146" s="1"/>
  <c r="K95"/>
  <c r="K89"/>
  <c r="K77"/>
  <c r="J75"/>
  <c r="K58"/>
  <c r="I75"/>
  <c r="I366"/>
  <c r="I76" s="1"/>
  <c r="J648"/>
  <c r="J171" s="1"/>
  <c r="J656"/>
  <c r="J173" s="1"/>
  <c r="J603"/>
  <c r="J138" s="1"/>
  <c r="I608"/>
  <c r="I139" s="1"/>
  <c r="J949"/>
  <c r="J40" s="1"/>
  <c r="J38" s="1"/>
  <c r="K101"/>
  <c r="K103"/>
  <c r="K56"/>
  <c r="K81"/>
  <c r="J405"/>
  <c r="J82" s="1"/>
  <c r="I990"/>
  <c r="I146" s="1"/>
  <c r="J560"/>
  <c r="K859"/>
  <c r="J1019"/>
  <c r="I414"/>
  <c r="I85" s="1"/>
  <c r="J498"/>
  <c r="J99" s="1"/>
  <c r="J97" s="1"/>
  <c r="J482"/>
  <c r="I603"/>
  <c r="I138" s="1"/>
  <c r="I778"/>
  <c r="K957"/>
  <c r="J912"/>
  <c r="J23" s="1"/>
  <c r="I60"/>
  <c r="I975"/>
  <c r="I143" s="1"/>
  <c r="K46"/>
  <c r="I822"/>
  <c r="I498"/>
  <c r="I99" s="1"/>
  <c r="J397"/>
  <c r="I454"/>
  <c r="I852"/>
  <c r="I185" s="1"/>
  <c r="I1086"/>
  <c r="J60"/>
  <c r="I570"/>
  <c r="I949"/>
  <c r="I946" s="1"/>
  <c r="J414"/>
  <c r="J411" s="1"/>
  <c r="I84"/>
  <c r="K84" s="1"/>
  <c r="I86"/>
  <c r="I87"/>
  <c r="I332"/>
  <c r="I329" s="1"/>
  <c r="J1117"/>
  <c r="J169" s="1"/>
  <c r="J931"/>
  <c r="J33" s="1"/>
  <c r="J86"/>
  <c r="K123"/>
  <c r="I747"/>
  <c r="I29" s="1"/>
  <c r="I912"/>
  <c r="I23" s="1"/>
  <c r="K377"/>
  <c r="I696"/>
  <c r="I181" s="1"/>
  <c r="J1074"/>
  <c r="J940"/>
  <c r="J35" s="1"/>
  <c r="K530"/>
  <c r="J834"/>
  <c r="J982"/>
  <c r="J144" s="1"/>
  <c r="J257"/>
  <c r="J48" s="1"/>
  <c r="J519"/>
  <c r="J102" s="1"/>
  <c r="J279"/>
  <c r="I834"/>
  <c r="I179" s="1"/>
  <c r="I1125"/>
  <c r="I192" s="1"/>
  <c r="I519"/>
  <c r="I102" s="1"/>
  <c r="J532"/>
  <c r="J104" s="1"/>
  <c r="K330"/>
  <c r="J790"/>
  <c r="I1060"/>
  <c r="I441"/>
  <c r="I90" s="1"/>
  <c r="J454"/>
  <c r="I982"/>
  <c r="I144" s="1"/>
  <c r="I1019"/>
  <c r="J898"/>
  <c r="J19" s="1"/>
  <c r="I940"/>
  <c r="I35" s="1"/>
  <c r="J366"/>
  <c r="K322"/>
  <c r="I705"/>
  <c r="K277"/>
  <c r="K654"/>
  <c r="J761"/>
  <c r="J1125"/>
  <c r="I1108"/>
  <c r="I167" s="1"/>
  <c r="K1115"/>
  <c r="I1032"/>
  <c r="I153" s="1"/>
  <c r="I151" s="1"/>
  <c r="I931"/>
  <c r="I33" s="1"/>
  <c r="J1060"/>
  <c r="I354"/>
  <c r="I353" s="1"/>
  <c r="K338"/>
  <c r="I279"/>
  <c r="J783"/>
  <c r="J110" s="1"/>
  <c r="J734"/>
  <c r="J861"/>
  <c r="J187" s="1"/>
  <c r="K1134"/>
  <c r="I257"/>
  <c r="I48" s="1"/>
  <c r="K364"/>
  <c r="I648"/>
  <c r="I171" s="1"/>
  <c r="J619"/>
  <c r="K794"/>
  <c r="J852"/>
  <c r="J185" s="1"/>
  <c r="I1077"/>
  <c r="I162" s="1"/>
  <c r="J1104"/>
  <c r="J166" s="1"/>
  <c r="K1044"/>
  <c r="K220"/>
  <c r="K358"/>
  <c r="J570"/>
  <c r="J1108"/>
  <c r="J167" s="1"/>
  <c r="J889"/>
  <c r="J17" s="1"/>
  <c r="I898"/>
  <c r="I19" s="1"/>
  <c r="I905"/>
  <c r="I21" s="1"/>
  <c r="K741"/>
  <c r="K412"/>
  <c r="K496"/>
  <c r="K379"/>
  <c r="K452"/>
  <c r="I619"/>
  <c r="I141" s="1"/>
  <c r="I800"/>
  <c r="I734"/>
  <c r="J975"/>
  <c r="J143" s="1"/>
  <c r="J1032"/>
  <c r="K254"/>
  <c r="K420"/>
  <c r="K403"/>
  <c r="K617"/>
  <c r="K832"/>
  <c r="K755"/>
  <c r="K1023"/>
  <c r="K896"/>
  <c r="K1030"/>
  <c r="K1042"/>
  <c r="K1068"/>
  <c r="K418"/>
  <c r="I532"/>
  <c r="I104" s="1"/>
  <c r="K488"/>
  <c r="K319"/>
  <c r="K703"/>
  <c r="I656"/>
  <c r="K807"/>
  <c r="K739"/>
  <c r="K753"/>
  <c r="K947"/>
  <c r="K1066"/>
  <c r="K910"/>
  <c r="J354"/>
  <c r="J353" s="1"/>
  <c r="I405"/>
  <c r="I560"/>
  <c r="K517"/>
  <c r="K439"/>
  <c r="J696"/>
  <c r="I783"/>
  <c r="I110" s="1"/>
  <c r="I761"/>
  <c r="I790"/>
  <c r="I861"/>
  <c r="I187" s="1"/>
  <c r="I1074"/>
  <c r="K1084"/>
  <c r="K988"/>
  <c r="K1017"/>
  <c r="I1136"/>
  <c r="I194" s="1"/>
  <c r="I1104"/>
  <c r="I166" s="1"/>
  <c r="I1117"/>
  <c r="I889"/>
  <c r="I17" s="1"/>
  <c r="K938"/>
  <c r="J905"/>
  <c r="J21" s="1"/>
  <c r="J170" l="1"/>
  <c r="G290" i="30"/>
  <c r="I136" i="33"/>
  <c r="J52"/>
  <c r="K52" s="1"/>
  <c r="I33" i="30"/>
  <c r="I138"/>
  <c r="H266"/>
  <c r="I35"/>
  <c r="I108"/>
  <c r="I283"/>
  <c r="I303"/>
  <c r="I83"/>
  <c r="G39"/>
  <c r="H39"/>
  <c r="G266"/>
  <c r="H383"/>
  <c r="H51"/>
  <c r="I22"/>
  <c r="G21"/>
  <c r="I32"/>
  <c r="G496"/>
  <c r="G603"/>
  <c r="G75"/>
  <c r="I75" s="1"/>
  <c r="I104"/>
  <c r="H452"/>
  <c r="G452"/>
  <c r="H70"/>
  <c r="H69" s="1"/>
  <c r="I17"/>
  <c r="G70"/>
  <c r="G31"/>
  <c r="G30" s="1"/>
  <c r="I172"/>
  <c r="I578"/>
  <c r="G344"/>
  <c r="G103"/>
  <c r="I103" s="1"/>
  <c r="G44"/>
  <c r="G43" s="1"/>
  <c r="G54"/>
  <c r="I54" s="1"/>
  <c r="G383"/>
  <c r="H31"/>
  <c r="H30" s="1"/>
  <c r="H344"/>
  <c r="J139" i="33"/>
  <c r="I140"/>
  <c r="K141"/>
  <c r="J17"/>
  <c r="J124"/>
  <c r="I131"/>
  <c r="I132"/>
  <c r="J132"/>
  <c r="J131"/>
  <c r="K125"/>
  <c r="I17"/>
  <c r="I124"/>
  <c r="J438" i="31"/>
  <c r="I123" i="33"/>
  <c r="I15" s="1"/>
  <c r="K122"/>
  <c r="I16"/>
  <c r="K139" i="31"/>
  <c r="J136" i="33"/>
  <c r="J43" s="1"/>
  <c r="J16"/>
  <c r="J123"/>
  <c r="I616" i="30"/>
  <c r="H55"/>
  <c r="I80"/>
  <c r="I101"/>
  <c r="I78"/>
  <c r="I111"/>
  <c r="H28"/>
  <c r="G76"/>
  <c r="H76"/>
  <c r="I187"/>
  <c r="I190" s="1"/>
  <c r="I654"/>
  <c r="I667"/>
  <c r="G100"/>
  <c r="I100" s="1"/>
  <c r="I81"/>
  <c r="G110"/>
  <c r="I46"/>
  <c r="I91"/>
  <c r="I57"/>
  <c r="I56"/>
  <c r="I107"/>
  <c r="G38"/>
  <c r="I38" s="1"/>
  <c r="I27"/>
  <c r="H26"/>
  <c r="I88"/>
  <c r="H310"/>
  <c r="H41"/>
  <c r="H40" s="1"/>
  <c r="G310"/>
  <c r="G41"/>
  <c r="I25"/>
  <c r="G24"/>
  <c r="I24" s="1"/>
  <c r="I82"/>
  <c r="H44"/>
  <c r="H43" s="1"/>
  <c r="G55"/>
  <c r="I71"/>
  <c r="I74"/>
  <c r="I633"/>
  <c r="I574"/>
  <c r="I489"/>
  <c r="I521"/>
  <c r="I403"/>
  <c r="I424"/>
  <c r="G410"/>
  <c r="H496"/>
  <c r="I467"/>
  <c r="H410"/>
  <c r="I439"/>
  <c r="I482"/>
  <c r="I426"/>
  <c r="I437"/>
  <c r="I256"/>
  <c r="H110"/>
  <c r="I397"/>
  <c r="I361"/>
  <c r="I333"/>
  <c r="I324"/>
  <c r="I297"/>
  <c r="I280"/>
  <c r="I28" i="31"/>
  <c r="J28"/>
  <c r="I20"/>
  <c r="J20"/>
  <c r="K23"/>
  <c r="K87"/>
  <c r="K21"/>
  <c r="I868"/>
  <c r="I189"/>
  <c r="J868"/>
  <c r="J189"/>
  <c r="K869"/>
  <c r="J946"/>
  <c r="K946" s="1"/>
  <c r="I1029"/>
  <c r="J16"/>
  <c r="K498"/>
  <c r="I746"/>
  <c r="J142"/>
  <c r="J495"/>
  <c r="K990"/>
  <c r="K940"/>
  <c r="K35"/>
  <c r="J777"/>
  <c r="K162"/>
  <c r="K608"/>
  <c r="K414"/>
  <c r="K648"/>
  <c r="K194"/>
  <c r="K110"/>
  <c r="J108"/>
  <c r="K237"/>
  <c r="K482"/>
  <c r="J799"/>
  <c r="K1077"/>
  <c r="K187"/>
  <c r="J647"/>
  <c r="K190"/>
  <c r="K213"/>
  <c r="K167"/>
  <c r="J32"/>
  <c r="K17"/>
  <c r="I16"/>
  <c r="J1029"/>
  <c r="J153"/>
  <c r="K19"/>
  <c r="I495"/>
  <c r="I904"/>
  <c r="J165"/>
  <c r="K166"/>
  <c r="K33"/>
  <c r="I32"/>
  <c r="J1124"/>
  <c r="J192"/>
  <c r="K192" s="1"/>
  <c r="K1117"/>
  <c r="I169"/>
  <c r="K169" s="1"/>
  <c r="J1059"/>
  <c r="J157"/>
  <c r="I1059"/>
  <c r="I157"/>
  <c r="K747"/>
  <c r="K144"/>
  <c r="J746"/>
  <c r="K146"/>
  <c r="K27"/>
  <c r="K29"/>
  <c r="I1016"/>
  <c r="I149"/>
  <c r="J1016"/>
  <c r="J149"/>
  <c r="J147" s="1"/>
  <c r="K185"/>
  <c r="I789"/>
  <c r="I112"/>
  <c r="K1074"/>
  <c r="I161"/>
  <c r="J733"/>
  <c r="J13"/>
  <c r="J789"/>
  <c r="J112"/>
  <c r="J111" s="1"/>
  <c r="K1086"/>
  <c r="I164"/>
  <c r="K164" s="1"/>
  <c r="J184"/>
  <c r="I930"/>
  <c r="K761"/>
  <c r="I37"/>
  <c r="K949"/>
  <c r="I40"/>
  <c r="J1073"/>
  <c r="J161"/>
  <c r="K143"/>
  <c r="I142"/>
  <c r="I733"/>
  <c r="I13"/>
  <c r="J760"/>
  <c r="J37"/>
  <c r="J36" s="1"/>
  <c r="I184"/>
  <c r="K778"/>
  <c r="I109"/>
  <c r="K822"/>
  <c r="I177"/>
  <c r="K898"/>
  <c r="J821"/>
  <c r="J179"/>
  <c r="K179" s="1"/>
  <c r="I799"/>
  <c r="I117"/>
  <c r="K656"/>
  <c r="I173"/>
  <c r="K173" s="1"/>
  <c r="K171"/>
  <c r="I1124"/>
  <c r="K1124" s="1"/>
  <c r="K783"/>
  <c r="I481"/>
  <c r="K174"/>
  <c r="J602"/>
  <c r="J141"/>
  <c r="K141" s="1"/>
  <c r="I276"/>
  <c r="I26"/>
  <c r="K912"/>
  <c r="K138"/>
  <c r="I137"/>
  <c r="J329"/>
  <c r="K329" s="1"/>
  <c r="J276"/>
  <c r="J116"/>
  <c r="J26"/>
  <c r="J24" s="1"/>
  <c r="K75"/>
  <c r="J695"/>
  <c r="J181"/>
  <c r="K181" s="1"/>
  <c r="K705"/>
  <c r="I183"/>
  <c r="K183" s="1"/>
  <c r="J569"/>
  <c r="J115"/>
  <c r="J114" s="1"/>
  <c r="I363"/>
  <c r="K982"/>
  <c r="I569"/>
  <c r="I115"/>
  <c r="J303"/>
  <c r="J49"/>
  <c r="I303"/>
  <c r="K603"/>
  <c r="K279"/>
  <c r="K1019"/>
  <c r="J904"/>
  <c r="K86"/>
  <c r="J363"/>
  <c r="J76"/>
  <c r="J74" s="1"/>
  <c r="J481"/>
  <c r="J94"/>
  <c r="K519"/>
  <c r="K441"/>
  <c r="K975"/>
  <c r="K257"/>
  <c r="I821"/>
  <c r="J43"/>
  <c r="K90"/>
  <c r="K454"/>
  <c r="J92"/>
  <c r="J88" s="1"/>
  <c r="K332"/>
  <c r="I57"/>
  <c r="I438"/>
  <c r="I92"/>
  <c r="K102"/>
  <c r="K1108"/>
  <c r="J100"/>
  <c r="K659"/>
  <c r="K99"/>
  <c r="I74"/>
  <c r="I396"/>
  <c r="I82"/>
  <c r="K82" s="1"/>
  <c r="K560"/>
  <c r="I106"/>
  <c r="K790"/>
  <c r="I100"/>
  <c r="K104"/>
  <c r="J396"/>
  <c r="J80"/>
  <c r="K80" s="1"/>
  <c r="J559"/>
  <c r="J106"/>
  <c r="J105" s="1"/>
  <c r="K852"/>
  <c r="J61"/>
  <c r="I97"/>
  <c r="K97" s="1"/>
  <c r="I61"/>
  <c r="I59" s="1"/>
  <c r="K1125"/>
  <c r="J930"/>
  <c r="I695"/>
  <c r="K800"/>
  <c r="I851"/>
  <c r="I411"/>
  <c r="J236"/>
  <c r="K1136"/>
  <c r="I974"/>
  <c r="K397"/>
  <c r="I83"/>
  <c r="J85"/>
  <c r="K85" s="1"/>
  <c r="K60"/>
  <c r="K366"/>
  <c r="K1104"/>
  <c r="K1060"/>
  <c r="K931"/>
  <c r="K121"/>
  <c r="I236"/>
  <c r="K905"/>
  <c r="I760"/>
  <c r="K734"/>
  <c r="K48"/>
  <c r="J516"/>
  <c r="I559"/>
  <c r="I777"/>
  <c r="K353"/>
  <c r="J974"/>
  <c r="I647"/>
  <c r="K304"/>
  <c r="I888"/>
  <c r="K532"/>
  <c r="K619"/>
  <c r="J888"/>
  <c r="K834"/>
  <c r="K1032"/>
  <c r="K696"/>
  <c r="J1103"/>
  <c r="J851"/>
  <c r="I516"/>
  <c r="K570"/>
  <c r="I1103"/>
  <c r="K889"/>
  <c r="K861"/>
  <c r="I1073"/>
  <c r="K354"/>
  <c r="I602"/>
  <c r="I170" l="1"/>
  <c r="G49" i="30"/>
  <c r="I149" i="33"/>
  <c r="H49" i="30"/>
  <c r="I39"/>
  <c r="I266"/>
  <c r="G69"/>
  <c r="I69" s="1"/>
  <c r="I452"/>
  <c r="I70"/>
  <c r="I133" i="33"/>
  <c r="K133" s="1"/>
  <c r="H98" i="30"/>
  <c r="H97" s="1"/>
  <c r="H603"/>
  <c r="I592"/>
  <c r="G98"/>
  <c r="I344"/>
  <c r="I138" i="33"/>
  <c r="I44" s="1"/>
  <c r="I30" i="30"/>
  <c r="K132" i="33"/>
  <c r="I31" i="30"/>
  <c r="K124" i="33"/>
  <c r="K131"/>
  <c r="I135"/>
  <c r="J138"/>
  <c r="J45"/>
  <c r="J135"/>
  <c r="I46"/>
  <c r="K140"/>
  <c r="I121"/>
  <c r="K438" i="31"/>
  <c r="J118" i="33"/>
  <c r="I120"/>
  <c r="K123"/>
  <c r="J15"/>
  <c r="J121"/>
  <c r="J129"/>
  <c r="I118"/>
  <c r="I117" s="1"/>
  <c r="K136"/>
  <c r="I43"/>
  <c r="I55" i="30"/>
  <c r="I43"/>
  <c r="I28"/>
  <c r="I26"/>
  <c r="I76"/>
  <c r="I310"/>
  <c r="I383"/>
  <c r="I290"/>
  <c r="I110"/>
  <c r="I44"/>
  <c r="G37"/>
  <c r="I41"/>
  <c r="G40"/>
  <c r="I51"/>
  <c r="I496"/>
  <c r="H37"/>
  <c r="I410"/>
  <c r="K28" i="31"/>
  <c r="J12"/>
  <c r="J156"/>
  <c r="K20"/>
  <c r="K868"/>
  <c r="J188"/>
  <c r="K799"/>
  <c r="K733"/>
  <c r="K142"/>
  <c r="K1029"/>
  <c r="K777"/>
  <c r="K92"/>
  <c r="K16"/>
  <c r="K647"/>
  <c r="K760"/>
  <c r="K746"/>
  <c r="K789"/>
  <c r="K495"/>
  <c r="K481"/>
  <c r="K904"/>
  <c r="K1059"/>
  <c r="K1073"/>
  <c r="J191"/>
  <c r="I165"/>
  <c r="K165" s="1"/>
  <c r="K32"/>
  <c r="J180"/>
  <c r="K189"/>
  <c r="I188"/>
  <c r="K153"/>
  <c r="J151"/>
  <c r="K151" s="1"/>
  <c r="I156"/>
  <c r="K157"/>
  <c r="K149"/>
  <c r="I147"/>
  <c r="K147" s="1"/>
  <c r="K1016"/>
  <c r="K396"/>
  <c r="K193"/>
  <c r="I191"/>
  <c r="K363"/>
  <c r="K276"/>
  <c r="K930"/>
  <c r="K184"/>
  <c r="K13"/>
  <c r="I12"/>
  <c r="K161"/>
  <c r="J160"/>
  <c r="K37"/>
  <c r="I36"/>
  <c r="K36" s="1"/>
  <c r="K112"/>
  <c r="I111"/>
  <c r="K111" s="1"/>
  <c r="K40"/>
  <c r="I38"/>
  <c r="K38" s="1"/>
  <c r="I160"/>
  <c r="K821"/>
  <c r="K109"/>
  <c r="I108"/>
  <c r="K108" s="1"/>
  <c r="J176"/>
  <c r="I176"/>
  <c r="K177"/>
  <c r="K695"/>
  <c r="K602"/>
  <c r="I88"/>
  <c r="K88" s="1"/>
  <c r="J137"/>
  <c r="K137" s="1"/>
  <c r="I116"/>
  <c r="K116" s="1"/>
  <c r="K117"/>
  <c r="I24"/>
  <c r="K24" s="1"/>
  <c r="K26"/>
  <c r="K303"/>
  <c r="K170"/>
  <c r="K974"/>
  <c r="K569"/>
  <c r="I180"/>
  <c r="K50"/>
  <c r="I49"/>
  <c r="K49" s="1"/>
  <c r="K115"/>
  <c r="I114"/>
  <c r="K114" s="1"/>
  <c r="K516"/>
  <c r="K411"/>
  <c r="K74"/>
  <c r="K76"/>
  <c r="K100"/>
  <c r="K94"/>
  <c r="J93"/>
  <c r="K93" s="1"/>
  <c r="K559"/>
  <c r="K236"/>
  <c r="K57"/>
  <c r="I55"/>
  <c r="K106"/>
  <c r="I105"/>
  <c r="K61"/>
  <c r="J79"/>
  <c r="K851"/>
  <c r="J59"/>
  <c r="K59" s="1"/>
  <c r="I79"/>
  <c r="J83"/>
  <c r="K83" s="1"/>
  <c r="K44"/>
  <c r="I43"/>
  <c r="K888"/>
  <c r="K1103"/>
  <c r="K156" l="1"/>
  <c r="I148" i="33"/>
  <c r="K149"/>
  <c r="I603" i="30"/>
  <c r="I98"/>
  <c r="G97"/>
  <c r="I97" s="1"/>
  <c r="I139" i="33"/>
  <c r="I45" s="1"/>
  <c r="K138"/>
  <c r="K121"/>
  <c r="I147"/>
  <c r="K135"/>
  <c r="J147"/>
  <c r="J146" s="1"/>
  <c r="J51" s="1"/>
  <c r="J50" s="1"/>
  <c r="I129"/>
  <c r="K129" s="1"/>
  <c r="J44"/>
  <c r="J137"/>
  <c r="K118"/>
  <c r="J117"/>
  <c r="J13" s="1"/>
  <c r="I134"/>
  <c r="J130"/>
  <c r="J120"/>
  <c r="J119" s="1"/>
  <c r="J14" s="1"/>
  <c r="J134"/>
  <c r="K120"/>
  <c r="I119"/>
  <c r="I130"/>
  <c r="I13"/>
  <c r="I49" i="30"/>
  <c r="I40"/>
  <c r="I37"/>
  <c r="K55" i="31"/>
  <c r="K12"/>
  <c r="K188"/>
  <c r="K191"/>
  <c r="K105"/>
  <c r="K79"/>
  <c r="K180"/>
  <c r="K160"/>
  <c r="K176"/>
  <c r="K43"/>
  <c r="I53" i="33" l="1"/>
  <c r="I52" s="1"/>
  <c r="K148"/>
  <c r="I137"/>
  <c r="K137" s="1"/>
  <c r="K139"/>
  <c r="K117"/>
  <c r="K134"/>
  <c r="I146"/>
  <c r="K147"/>
  <c r="K51" s="1"/>
  <c r="K50" s="1"/>
  <c r="I14"/>
  <c r="K119"/>
  <c r="K130"/>
  <c r="K146" l="1"/>
  <c r="I51"/>
  <c r="I50" s="1"/>
  <c r="C8" i="29"/>
  <c r="C9"/>
  <c r="C6"/>
  <c r="O965" i="28" l="1"/>
  <c r="O966"/>
  <c r="O967"/>
  <c r="O968"/>
  <c r="O969"/>
  <c r="O970"/>
  <c r="O971"/>
  <c r="O972"/>
  <c r="O973"/>
  <c r="O974"/>
  <c r="O975"/>
  <c r="O976"/>
  <c r="O977"/>
  <c r="O978"/>
  <c r="O979"/>
  <c r="O980"/>
  <c r="O981"/>
  <c r="O997"/>
  <c r="O1007"/>
  <c r="O1008"/>
  <c r="O1009"/>
  <c r="O1010"/>
  <c r="O1011"/>
  <c r="O1012"/>
  <c r="O1013"/>
  <c r="O1014"/>
  <c r="O1015"/>
  <c r="O1016"/>
  <c r="O1017"/>
  <c r="O1018"/>
  <c r="O1019"/>
  <c r="O1020"/>
  <c r="O1021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94"/>
  <c r="O1095"/>
  <c r="O1096"/>
  <c r="O1097"/>
  <c r="O1098"/>
  <c r="O1099"/>
  <c r="O1100"/>
  <c r="O1101"/>
  <c r="O1102"/>
  <c r="O1103"/>
  <c r="O1125"/>
  <c r="O1139"/>
  <c r="O1140"/>
  <c r="O1141"/>
  <c r="O1142"/>
  <c r="O1143"/>
  <c r="O1144"/>
  <c r="O1145"/>
  <c r="O1146"/>
  <c r="O1147"/>
  <c r="O1148"/>
  <c r="O1149"/>
  <c r="O1151"/>
  <c r="O1153"/>
  <c r="O1158"/>
  <c r="O1166"/>
  <c r="O1167"/>
  <c r="O1168"/>
  <c r="O1169"/>
  <c r="O1170"/>
  <c r="O1171"/>
  <c r="O1172"/>
  <c r="O1173"/>
  <c r="O1174"/>
  <c r="O1175"/>
  <c r="O1176"/>
  <c r="O1178"/>
  <c r="O1204"/>
  <c r="O1205"/>
  <c r="O1206"/>
  <c r="O1207"/>
  <c r="O1208"/>
  <c r="O1209"/>
  <c r="O1210"/>
  <c r="O1211"/>
  <c r="O1212"/>
  <c r="O1213"/>
  <c r="O1214"/>
  <c r="O1215"/>
  <c r="O1216"/>
  <c r="O1217"/>
  <c r="O1240"/>
  <c r="O1241"/>
  <c r="O1242"/>
  <c r="O1243"/>
  <c r="O1244"/>
  <c r="O1245"/>
  <c r="O1246"/>
  <c r="O1247"/>
  <c r="O1248"/>
  <c r="O1249"/>
  <c r="O1250"/>
  <c r="O1251"/>
  <c r="O1279"/>
  <c r="O1280"/>
  <c r="O1281"/>
  <c r="O1282"/>
  <c r="O1283"/>
  <c r="O1284"/>
  <c r="O1285"/>
  <c r="O1286"/>
  <c r="O1287"/>
  <c r="O1288"/>
  <c r="O1289"/>
  <c r="O1290"/>
  <c r="O1292"/>
  <c r="O1317"/>
  <c r="O1318"/>
  <c r="O1319"/>
  <c r="O1320"/>
  <c r="O1321"/>
  <c r="O1322"/>
  <c r="O1323"/>
  <c r="O1324"/>
  <c r="O1325"/>
  <c r="O1326"/>
  <c r="O1352"/>
  <c r="O1361"/>
  <c r="O1362"/>
  <c r="O1363"/>
  <c r="O1364"/>
  <c r="O1365"/>
  <c r="O1366"/>
  <c r="O1367"/>
  <c r="O1368"/>
  <c r="O1369"/>
  <c r="O1370"/>
  <c r="O1371"/>
  <c r="O1384"/>
  <c r="O1388"/>
  <c r="O1395"/>
  <c r="O1396"/>
  <c r="O1397"/>
  <c r="O1398"/>
  <c r="O1399"/>
  <c r="O1400"/>
  <c r="O1401"/>
  <c r="O1402"/>
  <c r="O1403"/>
  <c r="O1404"/>
  <c r="O1405"/>
  <c r="O1420"/>
  <c r="O1421"/>
  <c r="O1422"/>
  <c r="O1423"/>
  <c r="O1424"/>
  <c r="O1425"/>
  <c r="O1426"/>
  <c r="O1427"/>
  <c r="O1428"/>
  <c r="O1429"/>
  <c r="O1430"/>
  <c r="O1431"/>
  <c r="O1449"/>
  <c r="O1450"/>
  <c r="O1451"/>
  <c r="O1452"/>
  <c r="O1453"/>
  <c r="O1454"/>
  <c r="O1455"/>
  <c r="O1456"/>
  <c r="O1457"/>
  <c r="O1458"/>
  <c r="O1459"/>
  <c r="O1461"/>
  <c r="O1468"/>
  <c r="O1473"/>
  <c r="O1482"/>
  <c r="O1483"/>
  <c r="O1484"/>
  <c r="O1485"/>
  <c r="O1486"/>
  <c r="O1487"/>
  <c r="O1488"/>
  <c r="O1489"/>
  <c r="O1490"/>
  <c r="O1491"/>
  <c r="O1492"/>
  <c r="O1493"/>
  <c r="O1494"/>
  <c r="O1527"/>
  <c r="O1528"/>
  <c r="O1529"/>
  <c r="O1530"/>
  <c r="O1531"/>
  <c r="O1532"/>
  <c r="O1533"/>
  <c r="O1534"/>
  <c r="O1535"/>
  <c r="O1536"/>
  <c r="O1537"/>
  <c r="O1538"/>
  <c r="O1539"/>
  <c r="O1540"/>
  <c r="O1541"/>
  <c r="O1559"/>
  <c r="O1560"/>
  <c r="O1561"/>
  <c r="O1562"/>
  <c r="O1563"/>
  <c r="O1564"/>
  <c r="O1565"/>
  <c r="O1566"/>
  <c r="O1567"/>
  <c r="O1568"/>
  <c r="O1569"/>
  <c r="O1570"/>
  <c r="O1576"/>
  <c r="O1600"/>
  <c r="O1601"/>
  <c r="O1602"/>
  <c r="O1603"/>
  <c r="O1604"/>
  <c r="O1605"/>
  <c r="O1606"/>
  <c r="O1607"/>
  <c r="O1608"/>
  <c r="O1609"/>
  <c r="O1610"/>
  <c r="O1611"/>
  <c r="O1612"/>
  <c r="O1613"/>
  <c r="O1618"/>
  <c r="O1633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2396"/>
  <c r="M2395"/>
  <c r="M2396" s="1"/>
  <c r="L2395"/>
  <c r="L2396" s="1"/>
  <c r="H2395"/>
  <c r="G2395"/>
  <c r="F2395"/>
  <c r="E2395"/>
  <c r="D2395"/>
  <c r="C2395"/>
  <c r="B2395"/>
  <c r="M2389"/>
  <c r="L2389"/>
  <c r="H2389"/>
  <c r="G2389"/>
  <c r="F2389"/>
  <c r="E2389"/>
  <c r="D2389"/>
  <c r="C2389"/>
  <c r="B2389"/>
  <c r="M2388"/>
  <c r="L2388"/>
  <c r="H2388"/>
  <c r="G2388"/>
  <c r="F2388"/>
  <c r="E2388"/>
  <c r="D2388"/>
  <c r="C2388"/>
  <c r="B2388"/>
  <c r="M2387"/>
  <c r="L2387"/>
  <c r="H2387"/>
  <c r="G2387"/>
  <c r="F2387"/>
  <c r="E2387"/>
  <c r="D2387"/>
  <c r="C2387"/>
  <c r="B2387"/>
  <c r="M2386"/>
  <c r="L2386"/>
  <c r="H2386"/>
  <c r="G2386"/>
  <c r="F2386"/>
  <c r="E2386"/>
  <c r="D2386"/>
  <c r="C2386"/>
  <c r="B2386"/>
  <c r="M2385"/>
  <c r="L2385"/>
  <c r="H2385"/>
  <c r="G2385"/>
  <c r="F2385"/>
  <c r="E2385"/>
  <c r="D2385"/>
  <c r="C2385"/>
  <c r="B2385"/>
  <c r="N2370"/>
  <c r="M2370"/>
  <c r="L2370"/>
  <c r="H2370"/>
  <c r="G2370"/>
  <c r="F2370"/>
  <c r="E2370"/>
  <c r="D2370"/>
  <c r="C2370"/>
  <c r="B2370"/>
  <c r="N2369"/>
  <c r="M2369"/>
  <c r="L2369"/>
  <c r="H2369"/>
  <c r="G2369"/>
  <c r="F2369"/>
  <c r="E2369"/>
  <c r="D2369"/>
  <c r="C2369"/>
  <c r="B2369"/>
  <c r="N2368"/>
  <c r="M2368"/>
  <c r="L2368"/>
  <c r="H2368"/>
  <c r="G2368"/>
  <c r="F2368"/>
  <c r="E2368"/>
  <c r="D2368"/>
  <c r="C2368"/>
  <c r="B2368"/>
  <c r="N2367"/>
  <c r="M2367"/>
  <c r="L2367"/>
  <c r="H2367"/>
  <c r="G2367"/>
  <c r="F2367"/>
  <c r="E2367"/>
  <c r="D2367"/>
  <c r="C2367"/>
  <c r="B2367"/>
  <c r="M2366"/>
  <c r="L2366"/>
  <c r="H2366"/>
  <c r="G2366"/>
  <c r="F2366"/>
  <c r="E2366"/>
  <c r="D2366"/>
  <c r="C2366"/>
  <c r="B2366"/>
  <c r="M2365"/>
  <c r="L2365"/>
  <c r="H2365"/>
  <c r="G2365"/>
  <c r="F2365"/>
  <c r="E2365"/>
  <c r="D2365"/>
  <c r="C2365"/>
  <c r="B2365"/>
  <c r="M2364"/>
  <c r="L2364"/>
  <c r="H2364"/>
  <c r="G2364"/>
  <c r="F2364"/>
  <c r="E2364"/>
  <c r="D2364"/>
  <c r="C2364"/>
  <c r="B2364"/>
  <c r="M2363"/>
  <c r="L2363"/>
  <c r="H2363"/>
  <c r="G2363"/>
  <c r="F2363"/>
  <c r="E2363"/>
  <c r="D2363"/>
  <c r="C2363"/>
  <c r="B2363"/>
  <c r="M2362"/>
  <c r="L2362"/>
  <c r="H2362"/>
  <c r="G2362"/>
  <c r="F2362"/>
  <c r="E2362"/>
  <c r="D2362"/>
  <c r="C2362"/>
  <c r="B2362"/>
  <c r="N2361"/>
  <c r="M2361"/>
  <c r="L2361"/>
  <c r="H2361"/>
  <c r="G2361"/>
  <c r="F2361"/>
  <c r="E2361"/>
  <c r="D2361"/>
  <c r="C2361"/>
  <c r="B2361"/>
  <c r="M2360"/>
  <c r="L2360"/>
  <c r="H2360"/>
  <c r="G2360"/>
  <c r="F2360"/>
  <c r="E2360"/>
  <c r="D2360"/>
  <c r="C2360"/>
  <c r="B2360"/>
  <c r="M2359"/>
  <c r="L2359"/>
  <c r="H2359"/>
  <c r="G2359"/>
  <c r="F2359"/>
  <c r="E2359"/>
  <c r="D2359"/>
  <c r="C2359"/>
  <c r="B2359"/>
  <c r="N2358"/>
  <c r="M2358"/>
  <c r="L2358"/>
  <c r="H2358"/>
  <c r="G2358"/>
  <c r="F2358"/>
  <c r="E2358"/>
  <c r="D2358"/>
  <c r="C2358"/>
  <c r="B2358"/>
  <c r="M2357"/>
  <c r="H2357"/>
  <c r="G2357"/>
  <c r="F2357"/>
  <c r="E2357"/>
  <c r="D2357"/>
  <c r="C2357"/>
  <c r="B2357"/>
  <c r="M2356"/>
  <c r="L2356"/>
  <c r="H2356"/>
  <c r="G2356"/>
  <c r="F2356"/>
  <c r="E2356"/>
  <c r="D2356"/>
  <c r="C2356"/>
  <c r="B2356"/>
  <c r="M2355"/>
  <c r="L2355"/>
  <c r="H2355"/>
  <c r="G2355"/>
  <c r="F2355"/>
  <c r="E2355"/>
  <c r="D2355"/>
  <c r="C2355"/>
  <c r="B2355"/>
  <c r="M2354"/>
  <c r="H2354"/>
  <c r="G2354"/>
  <c r="F2354"/>
  <c r="E2354"/>
  <c r="D2354"/>
  <c r="C2354"/>
  <c r="B2354"/>
  <c r="P2339"/>
  <c r="O2338"/>
  <c r="O2339" s="1"/>
  <c r="M2338"/>
  <c r="M2339" s="1"/>
  <c r="L2338"/>
  <c r="L2339" s="1"/>
  <c r="G2338"/>
  <c r="F2338"/>
  <c r="D2338"/>
  <c r="C2338"/>
  <c r="B2338"/>
  <c r="P2331"/>
  <c r="M2331"/>
  <c r="M2332" s="1"/>
  <c r="L2331"/>
  <c r="L2332" s="1"/>
  <c r="I2331"/>
  <c r="I2332" s="1"/>
  <c r="H2331"/>
  <c r="G2331"/>
  <c r="F2331"/>
  <c r="E2331"/>
  <c r="D2331"/>
  <c r="C2331"/>
  <c r="B2331"/>
  <c r="M2325"/>
  <c r="L2325"/>
  <c r="H2325"/>
  <c r="G2325"/>
  <c r="F2325"/>
  <c r="E2325"/>
  <c r="D2325"/>
  <c r="C2325"/>
  <c r="B2325"/>
  <c r="M2324"/>
  <c r="L2324"/>
  <c r="H2324"/>
  <c r="G2324"/>
  <c r="F2324"/>
  <c r="E2324"/>
  <c r="D2324"/>
  <c r="C2324"/>
  <c r="B2324"/>
  <c r="N2317"/>
  <c r="M2317"/>
  <c r="L2317"/>
  <c r="K2317"/>
  <c r="J2317"/>
  <c r="I2317"/>
  <c r="H2317"/>
  <c r="G2317"/>
  <c r="F2317"/>
  <c r="E2317"/>
  <c r="D2317"/>
  <c r="C2317"/>
  <c r="B2317"/>
  <c r="N2316"/>
  <c r="M2316"/>
  <c r="L2316"/>
  <c r="K2316"/>
  <c r="J2316"/>
  <c r="I2316"/>
  <c r="H2316"/>
  <c r="G2316"/>
  <c r="F2316"/>
  <c r="E2316"/>
  <c r="D2316"/>
  <c r="C2316"/>
  <c r="B2316"/>
  <c r="N2315"/>
  <c r="M2315"/>
  <c r="L2315"/>
  <c r="K2315"/>
  <c r="J2315"/>
  <c r="I2315"/>
  <c r="H2315"/>
  <c r="G2315"/>
  <c r="F2315"/>
  <c r="E2315"/>
  <c r="D2315"/>
  <c r="C2315"/>
  <c r="B2315"/>
  <c r="N2314"/>
  <c r="M2314"/>
  <c r="L2314"/>
  <c r="K2314"/>
  <c r="J2314"/>
  <c r="I2314"/>
  <c r="H2314"/>
  <c r="G2314"/>
  <c r="F2314"/>
  <c r="E2314"/>
  <c r="D2314"/>
  <c r="C2314"/>
  <c r="B2314"/>
  <c r="N2313"/>
  <c r="M2313"/>
  <c r="L2313"/>
  <c r="K2313"/>
  <c r="J2313"/>
  <c r="I2313"/>
  <c r="H2313"/>
  <c r="G2313"/>
  <c r="F2313"/>
  <c r="E2313"/>
  <c r="D2313"/>
  <c r="C2313"/>
  <c r="B2313"/>
  <c r="N2312"/>
  <c r="N2318" s="1"/>
  <c r="M2312"/>
  <c r="M2318" s="1"/>
  <c r="L2312"/>
  <c r="L2318" s="1"/>
  <c r="K2312"/>
  <c r="K2318" s="1"/>
  <c r="J2312"/>
  <c r="J2318" s="1"/>
  <c r="I2312"/>
  <c r="I2318" s="1"/>
  <c r="H2312"/>
  <c r="G2312"/>
  <c r="F2312"/>
  <c r="E2312"/>
  <c r="D2312"/>
  <c r="C2312"/>
  <c r="B2312"/>
  <c r="P2306"/>
  <c r="M2305"/>
  <c r="M2306" s="1"/>
  <c r="H2305"/>
  <c r="G2305"/>
  <c r="F2305"/>
  <c r="E2305"/>
  <c r="D2305"/>
  <c r="C2305"/>
  <c r="B2305"/>
  <c r="H2304"/>
  <c r="G2304"/>
  <c r="F2304"/>
  <c r="E2304"/>
  <c r="D2304"/>
  <c r="C2304"/>
  <c r="B2304"/>
  <c r="M2287"/>
  <c r="L2287"/>
  <c r="M2286"/>
  <c r="L2286"/>
  <c r="L2288" s="1"/>
  <c r="B2286"/>
  <c r="M2281"/>
  <c r="L2281"/>
  <c r="H2281"/>
  <c r="G2281"/>
  <c r="F2281"/>
  <c r="E2281"/>
  <c r="D2281"/>
  <c r="C2281"/>
  <c r="B2281"/>
  <c r="M2280"/>
  <c r="L2280"/>
  <c r="H2280"/>
  <c r="G2280"/>
  <c r="F2280"/>
  <c r="E2280"/>
  <c r="D2280"/>
  <c r="C2280"/>
  <c r="B2280"/>
  <c r="M2279"/>
  <c r="H2279"/>
  <c r="G2279"/>
  <c r="F2279"/>
  <c r="E2279"/>
  <c r="D2279"/>
  <c r="C2279"/>
  <c r="B2279"/>
  <c r="M2278"/>
  <c r="L2278"/>
  <c r="H2278"/>
  <c r="G2278"/>
  <c r="F2278"/>
  <c r="E2278"/>
  <c r="D2278"/>
  <c r="C2278"/>
  <c r="B2278"/>
  <c r="M2277"/>
  <c r="L2277"/>
  <c r="H2277"/>
  <c r="G2277"/>
  <c r="F2277"/>
  <c r="E2277"/>
  <c r="D2277"/>
  <c r="C2277"/>
  <c r="B2277"/>
  <c r="M2276"/>
  <c r="L2276"/>
  <c r="H2276"/>
  <c r="G2276"/>
  <c r="F2276"/>
  <c r="E2276"/>
  <c r="D2276"/>
  <c r="C2276"/>
  <c r="B2276"/>
  <c r="M2275"/>
  <c r="L2275"/>
  <c r="H2275"/>
  <c r="G2275"/>
  <c r="F2275"/>
  <c r="E2275"/>
  <c r="D2275"/>
  <c r="C2275"/>
  <c r="B2275"/>
  <c r="M2274"/>
  <c r="L2274"/>
  <c r="H2274"/>
  <c r="G2274"/>
  <c r="F2274"/>
  <c r="E2274"/>
  <c r="D2274"/>
  <c r="C2274"/>
  <c r="B2274"/>
  <c r="O2263"/>
  <c r="H2262"/>
  <c r="G2262"/>
  <c r="F2262"/>
  <c r="E2262"/>
  <c r="D2262"/>
  <c r="C2262"/>
  <c r="B2262"/>
  <c r="M2261"/>
  <c r="L2261"/>
  <c r="H2261"/>
  <c r="G2261"/>
  <c r="F2261"/>
  <c r="E2261"/>
  <c r="D2261"/>
  <c r="C2261"/>
  <c r="B2261"/>
  <c r="M2260"/>
  <c r="L2260"/>
  <c r="H2260"/>
  <c r="G2260"/>
  <c r="F2260"/>
  <c r="E2260"/>
  <c r="D2260"/>
  <c r="C2260"/>
  <c r="B2260"/>
  <c r="H2259"/>
  <c r="G2259"/>
  <c r="F2259"/>
  <c r="E2259"/>
  <c r="D2259"/>
  <c r="C2259"/>
  <c r="B2259"/>
  <c r="H2258"/>
  <c r="G2258"/>
  <c r="F2258"/>
  <c r="E2258"/>
  <c r="D2258"/>
  <c r="C2258"/>
  <c r="B2258"/>
  <c r="N2257"/>
  <c r="M2257"/>
  <c r="L2257"/>
  <c r="H2257"/>
  <c r="G2257"/>
  <c r="F2257"/>
  <c r="E2257"/>
  <c r="D2257"/>
  <c r="C2257"/>
  <c r="B2257"/>
  <c r="M2256"/>
  <c r="L2256"/>
  <c r="H2256"/>
  <c r="G2256"/>
  <c r="F2256"/>
  <c r="E2256"/>
  <c r="D2256"/>
  <c r="C2256"/>
  <c r="B2256"/>
  <c r="M2255"/>
  <c r="L2255"/>
  <c r="H2255"/>
  <c r="G2255"/>
  <c r="F2255"/>
  <c r="E2255"/>
  <c r="D2255"/>
  <c r="C2255"/>
  <c r="B2255"/>
  <c r="H2254"/>
  <c r="G2254"/>
  <c r="F2254"/>
  <c r="E2254"/>
  <c r="D2254"/>
  <c r="C2254"/>
  <c r="B2254"/>
  <c r="H2253"/>
  <c r="G2253"/>
  <c r="F2253"/>
  <c r="E2253"/>
  <c r="D2253"/>
  <c r="C2253"/>
  <c r="B2253"/>
  <c r="M2252"/>
  <c r="L2252"/>
  <c r="H2252"/>
  <c r="G2252"/>
  <c r="F2252"/>
  <c r="E2252"/>
  <c r="D2252"/>
  <c r="C2252"/>
  <c r="B2252"/>
  <c r="H2251"/>
  <c r="G2251"/>
  <c r="F2251"/>
  <c r="E2251"/>
  <c r="D2251"/>
  <c r="C2251"/>
  <c r="B2251"/>
  <c r="M2250"/>
  <c r="L2250"/>
  <c r="H2250"/>
  <c r="G2250"/>
  <c r="F2250"/>
  <c r="E2250"/>
  <c r="D2250"/>
  <c r="C2250"/>
  <c r="B2250"/>
  <c r="H2249"/>
  <c r="G2249"/>
  <c r="F2249"/>
  <c r="E2249"/>
  <c r="D2249"/>
  <c r="C2249"/>
  <c r="B2249"/>
  <c r="M2248"/>
  <c r="L2248"/>
  <c r="H2248"/>
  <c r="G2248"/>
  <c r="F2248"/>
  <c r="E2248"/>
  <c r="D2248"/>
  <c r="C2248"/>
  <c r="B2248"/>
  <c r="H2247"/>
  <c r="G2247"/>
  <c r="F2247"/>
  <c r="E2247"/>
  <c r="D2247"/>
  <c r="C2247"/>
  <c r="B2247"/>
  <c r="M2246"/>
  <c r="L2246"/>
  <c r="H2246"/>
  <c r="G2246"/>
  <c r="F2246"/>
  <c r="E2246"/>
  <c r="D2246"/>
  <c r="C2246"/>
  <c r="B2246"/>
  <c r="H2245"/>
  <c r="G2245"/>
  <c r="F2245"/>
  <c r="E2245"/>
  <c r="D2245"/>
  <c r="C2245"/>
  <c r="B2245"/>
  <c r="M2244"/>
  <c r="L2244"/>
  <c r="H2244"/>
  <c r="G2244"/>
  <c r="F2244"/>
  <c r="E2244"/>
  <c r="D2244"/>
  <c r="C2244"/>
  <c r="B2244"/>
  <c r="H2243"/>
  <c r="G2243"/>
  <c r="F2243"/>
  <c r="E2243"/>
  <c r="D2243"/>
  <c r="C2243"/>
  <c r="B2243"/>
  <c r="M2242"/>
  <c r="L2242"/>
  <c r="H2242"/>
  <c r="G2242"/>
  <c r="F2242"/>
  <c r="E2242"/>
  <c r="D2242"/>
  <c r="C2242"/>
  <c r="B2242"/>
  <c r="M2241"/>
  <c r="L2241"/>
  <c r="H2241"/>
  <c r="G2241"/>
  <c r="F2241"/>
  <c r="E2241"/>
  <c r="D2241"/>
  <c r="C2241"/>
  <c r="B2241"/>
  <c r="H2240"/>
  <c r="G2240"/>
  <c r="F2240"/>
  <c r="E2240"/>
  <c r="D2240"/>
  <c r="C2240"/>
  <c r="B2240"/>
  <c r="H2239"/>
  <c r="G2239"/>
  <c r="F2239"/>
  <c r="E2239"/>
  <c r="D2239"/>
  <c r="C2239"/>
  <c r="B2239"/>
  <c r="M2238"/>
  <c r="L2238"/>
  <c r="H2238"/>
  <c r="G2238"/>
  <c r="F2238"/>
  <c r="E2238"/>
  <c r="D2238"/>
  <c r="C2238"/>
  <c r="B2238"/>
  <c r="M2237"/>
  <c r="L2237"/>
  <c r="H2237"/>
  <c r="G2237"/>
  <c r="F2237"/>
  <c r="E2237"/>
  <c r="D2237"/>
  <c r="C2237"/>
  <c r="B2237"/>
  <c r="H2236"/>
  <c r="G2236"/>
  <c r="F2236"/>
  <c r="E2236"/>
  <c r="D2236"/>
  <c r="C2236"/>
  <c r="B2236"/>
  <c r="H2235"/>
  <c r="G2235"/>
  <c r="F2235"/>
  <c r="E2235"/>
  <c r="D2235"/>
  <c r="C2235"/>
  <c r="B2235"/>
  <c r="H2234"/>
  <c r="G2234"/>
  <c r="F2234"/>
  <c r="E2234"/>
  <c r="D2234"/>
  <c r="C2234"/>
  <c r="B2234"/>
  <c r="M2233"/>
  <c r="L2233"/>
  <c r="H2233"/>
  <c r="G2233"/>
  <c r="F2233"/>
  <c r="E2233"/>
  <c r="D2233"/>
  <c r="C2233"/>
  <c r="B2233"/>
  <c r="H2232"/>
  <c r="G2232"/>
  <c r="F2232"/>
  <c r="E2232"/>
  <c r="D2232"/>
  <c r="C2232"/>
  <c r="B2232"/>
  <c r="M2231"/>
  <c r="H2231"/>
  <c r="G2231"/>
  <c r="F2231"/>
  <c r="E2231"/>
  <c r="D2231"/>
  <c r="C2231"/>
  <c r="B2231"/>
  <c r="H2230"/>
  <c r="G2230"/>
  <c r="F2230"/>
  <c r="E2230"/>
  <c r="D2230"/>
  <c r="C2230"/>
  <c r="B2230"/>
  <c r="M2218"/>
  <c r="L2218"/>
  <c r="H2218"/>
  <c r="G2218"/>
  <c r="F2218"/>
  <c r="E2218"/>
  <c r="D2218"/>
  <c r="C2218"/>
  <c r="B2218"/>
  <c r="H2217"/>
  <c r="G2217"/>
  <c r="F2217"/>
  <c r="E2217"/>
  <c r="D2217"/>
  <c r="C2217"/>
  <c r="B2217"/>
  <c r="M2216"/>
  <c r="L2216"/>
  <c r="H2216"/>
  <c r="G2216"/>
  <c r="F2216"/>
  <c r="E2216"/>
  <c r="D2216"/>
  <c r="C2216"/>
  <c r="B2216"/>
  <c r="H2215"/>
  <c r="G2215"/>
  <c r="F2215"/>
  <c r="E2215"/>
  <c r="D2215"/>
  <c r="C2215"/>
  <c r="B2215"/>
  <c r="M2214"/>
  <c r="L2214"/>
  <c r="H2214"/>
  <c r="G2214"/>
  <c r="F2214"/>
  <c r="E2214"/>
  <c r="D2214"/>
  <c r="C2214"/>
  <c r="B2214"/>
  <c r="H2213"/>
  <c r="G2213"/>
  <c r="F2213"/>
  <c r="E2213"/>
  <c r="D2213"/>
  <c r="C2213"/>
  <c r="B2213"/>
  <c r="M2212"/>
  <c r="L2212"/>
  <c r="H2212"/>
  <c r="G2212"/>
  <c r="F2212"/>
  <c r="E2212"/>
  <c r="D2212"/>
  <c r="C2212"/>
  <c r="B2212"/>
  <c r="H2211"/>
  <c r="G2211"/>
  <c r="F2211"/>
  <c r="E2211"/>
  <c r="D2211"/>
  <c r="C2211"/>
  <c r="B2211"/>
  <c r="M2210"/>
  <c r="L2210"/>
  <c r="H2210"/>
  <c r="G2210"/>
  <c r="F2210"/>
  <c r="E2210"/>
  <c r="D2210"/>
  <c r="C2210"/>
  <c r="B2210"/>
  <c r="H2209"/>
  <c r="G2209"/>
  <c r="F2209"/>
  <c r="E2209"/>
  <c r="D2209"/>
  <c r="C2209"/>
  <c r="B2209"/>
  <c r="M2208"/>
  <c r="L2208"/>
  <c r="H2208"/>
  <c r="G2208"/>
  <c r="F2208"/>
  <c r="E2208"/>
  <c r="D2208"/>
  <c r="C2208"/>
  <c r="B2208"/>
  <c r="H2207"/>
  <c r="G2207"/>
  <c r="F2207"/>
  <c r="E2207"/>
  <c r="D2207"/>
  <c r="C2207"/>
  <c r="B2207"/>
  <c r="M2206"/>
  <c r="L2206"/>
  <c r="H2206"/>
  <c r="G2206"/>
  <c r="F2206"/>
  <c r="E2206"/>
  <c r="D2206"/>
  <c r="C2206"/>
  <c r="B2206"/>
  <c r="H2205"/>
  <c r="G2205"/>
  <c r="F2205"/>
  <c r="E2205"/>
  <c r="D2205"/>
  <c r="C2205"/>
  <c r="B2205"/>
  <c r="M2204"/>
  <c r="L2204"/>
  <c r="H2204"/>
  <c r="G2204"/>
  <c r="F2204"/>
  <c r="E2204"/>
  <c r="D2204"/>
  <c r="C2204"/>
  <c r="B2204"/>
  <c r="H2203"/>
  <c r="G2203"/>
  <c r="F2203"/>
  <c r="E2203"/>
  <c r="D2203"/>
  <c r="C2203"/>
  <c r="B2203"/>
  <c r="M2202"/>
  <c r="L2202"/>
  <c r="H2202"/>
  <c r="G2202"/>
  <c r="F2202"/>
  <c r="E2202"/>
  <c r="D2202"/>
  <c r="C2202"/>
  <c r="B2202"/>
  <c r="H2201"/>
  <c r="G2201"/>
  <c r="F2201"/>
  <c r="E2201"/>
  <c r="D2201"/>
  <c r="C2201"/>
  <c r="B2201"/>
  <c r="M2200"/>
  <c r="L2200"/>
  <c r="H2200"/>
  <c r="G2200"/>
  <c r="F2200"/>
  <c r="E2200"/>
  <c r="D2200"/>
  <c r="C2200"/>
  <c r="B2200"/>
  <c r="H2199"/>
  <c r="G2199"/>
  <c r="F2199"/>
  <c r="E2199"/>
  <c r="D2199"/>
  <c r="C2199"/>
  <c r="B2199"/>
  <c r="M2198"/>
  <c r="L2198"/>
  <c r="H2198"/>
  <c r="G2198"/>
  <c r="F2198"/>
  <c r="E2198"/>
  <c r="D2198"/>
  <c r="C2198"/>
  <c r="B2198"/>
  <c r="H2197"/>
  <c r="G2197"/>
  <c r="F2197"/>
  <c r="E2197"/>
  <c r="D2197"/>
  <c r="C2197"/>
  <c r="B2197"/>
  <c r="M2196"/>
  <c r="L2196"/>
  <c r="H2196"/>
  <c r="G2196"/>
  <c r="F2196"/>
  <c r="E2196"/>
  <c r="D2196"/>
  <c r="C2196"/>
  <c r="B2196"/>
  <c r="M2195"/>
  <c r="L2195"/>
  <c r="H2195"/>
  <c r="G2195"/>
  <c r="F2195"/>
  <c r="E2195"/>
  <c r="D2195"/>
  <c r="C2195"/>
  <c r="B2195"/>
  <c r="M2194"/>
  <c r="L2194"/>
  <c r="H2194"/>
  <c r="G2194"/>
  <c r="F2194"/>
  <c r="E2194"/>
  <c r="D2194"/>
  <c r="C2194"/>
  <c r="B2194"/>
  <c r="M2193"/>
  <c r="L2193"/>
  <c r="H2193"/>
  <c r="G2193"/>
  <c r="F2193"/>
  <c r="E2193"/>
  <c r="D2193"/>
  <c r="C2193"/>
  <c r="B2193"/>
  <c r="M2192"/>
  <c r="L2192"/>
  <c r="H2192"/>
  <c r="G2192"/>
  <c r="F2192"/>
  <c r="E2192"/>
  <c r="D2192"/>
  <c r="C2192"/>
  <c r="B2192"/>
  <c r="M2191"/>
  <c r="L2191"/>
  <c r="H2191"/>
  <c r="G2191"/>
  <c r="F2191"/>
  <c r="E2191"/>
  <c r="D2191"/>
  <c r="C2191"/>
  <c r="B2191"/>
  <c r="M2190"/>
  <c r="L2190"/>
  <c r="H2190"/>
  <c r="G2190"/>
  <c r="F2190"/>
  <c r="E2190"/>
  <c r="D2190"/>
  <c r="C2190"/>
  <c r="B2190"/>
  <c r="M2174"/>
  <c r="L2174"/>
  <c r="H2174"/>
  <c r="G2174"/>
  <c r="F2174"/>
  <c r="E2174"/>
  <c r="D2174"/>
  <c r="C2174"/>
  <c r="B2174"/>
  <c r="M2173"/>
  <c r="L2173"/>
  <c r="H2173"/>
  <c r="G2173"/>
  <c r="F2173"/>
  <c r="E2173"/>
  <c r="D2173"/>
  <c r="C2173"/>
  <c r="B2173"/>
  <c r="M2172"/>
  <c r="L2172"/>
  <c r="H2172"/>
  <c r="G2172"/>
  <c r="F2172"/>
  <c r="E2172"/>
  <c r="D2172"/>
  <c r="C2172"/>
  <c r="B2172"/>
  <c r="M2171"/>
  <c r="H2171"/>
  <c r="G2171"/>
  <c r="F2171"/>
  <c r="E2171"/>
  <c r="D2171"/>
  <c r="C2171"/>
  <c r="B2171"/>
  <c r="M2170"/>
  <c r="L2170"/>
  <c r="H2170"/>
  <c r="G2170"/>
  <c r="F2170"/>
  <c r="E2170"/>
  <c r="D2170"/>
  <c r="C2170"/>
  <c r="B2170"/>
  <c r="M2169"/>
  <c r="H2169"/>
  <c r="G2169"/>
  <c r="F2169"/>
  <c r="E2169"/>
  <c r="D2169"/>
  <c r="C2169"/>
  <c r="B2169"/>
  <c r="M2168"/>
  <c r="L2168"/>
  <c r="H2168"/>
  <c r="G2168"/>
  <c r="F2168"/>
  <c r="E2168"/>
  <c r="D2168"/>
  <c r="C2168"/>
  <c r="B2168"/>
  <c r="M2167"/>
  <c r="L2167"/>
  <c r="H2167"/>
  <c r="G2167"/>
  <c r="F2167"/>
  <c r="E2167"/>
  <c r="D2167"/>
  <c r="C2167"/>
  <c r="B2167"/>
  <c r="M2166"/>
  <c r="L2166"/>
  <c r="H2166"/>
  <c r="G2166"/>
  <c r="F2166"/>
  <c r="E2166"/>
  <c r="D2166"/>
  <c r="C2166"/>
  <c r="B2166"/>
  <c r="M2165"/>
  <c r="L2165"/>
  <c r="H2165"/>
  <c r="G2165"/>
  <c r="F2165"/>
  <c r="E2165"/>
  <c r="D2165"/>
  <c r="C2165"/>
  <c r="B2165"/>
  <c r="M2164"/>
  <c r="L2164"/>
  <c r="H2164"/>
  <c r="G2164"/>
  <c r="F2164"/>
  <c r="E2164"/>
  <c r="D2164"/>
  <c r="C2164"/>
  <c r="B2164"/>
  <c r="M2163"/>
  <c r="L2163"/>
  <c r="H2163"/>
  <c r="G2163"/>
  <c r="F2163"/>
  <c r="E2163"/>
  <c r="D2163"/>
  <c r="C2163"/>
  <c r="B2163"/>
  <c r="M2162"/>
  <c r="L2162"/>
  <c r="H2162"/>
  <c r="G2162"/>
  <c r="F2162"/>
  <c r="E2162"/>
  <c r="D2162"/>
  <c r="C2162"/>
  <c r="B2162"/>
  <c r="N2161"/>
  <c r="M2161"/>
  <c r="L2161"/>
  <c r="H2161"/>
  <c r="G2161"/>
  <c r="F2161"/>
  <c r="E2161"/>
  <c r="D2161"/>
  <c r="C2161"/>
  <c r="B2161"/>
  <c r="N2160"/>
  <c r="M2160"/>
  <c r="L2160"/>
  <c r="H2160"/>
  <c r="G2160"/>
  <c r="F2160"/>
  <c r="E2160"/>
  <c r="D2160"/>
  <c r="C2160"/>
  <c r="B2160"/>
  <c r="N2159"/>
  <c r="M2159"/>
  <c r="L2159"/>
  <c r="H2159"/>
  <c r="G2159"/>
  <c r="F2159"/>
  <c r="E2159"/>
  <c r="D2159"/>
  <c r="C2159"/>
  <c r="B2159"/>
  <c r="M2158"/>
  <c r="L2158"/>
  <c r="H2158"/>
  <c r="G2158"/>
  <c r="F2158"/>
  <c r="E2158"/>
  <c r="D2158"/>
  <c r="C2158"/>
  <c r="B2158"/>
  <c r="M2157"/>
  <c r="L2157"/>
  <c r="H2157"/>
  <c r="G2157"/>
  <c r="F2157"/>
  <c r="E2157"/>
  <c r="D2157"/>
  <c r="C2157"/>
  <c r="B2157"/>
  <c r="M2156"/>
  <c r="L2156"/>
  <c r="H2156"/>
  <c r="G2156"/>
  <c r="F2156"/>
  <c r="E2156"/>
  <c r="D2156"/>
  <c r="C2156"/>
  <c r="B2156"/>
  <c r="M2155"/>
  <c r="L2155"/>
  <c r="H2155"/>
  <c r="G2155"/>
  <c r="F2155"/>
  <c r="E2155"/>
  <c r="D2155"/>
  <c r="C2155"/>
  <c r="B2155"/>
  <c r="M2154"/>
  <c r="L2154"/>
  <c r="H2154"/>
  <c r="G2154"/>
  <c r="F2154"/>
  <c r="E2154"/>
  <c r="D2154"/>
  <c r="C2154"/>
  <c r="B2154"/>
  <c r="M2153"/>
  <c r="L2153"/>
  <c r="H2153"/>
  <c r="G2153"/>
  <c r="F2153"/>
  <c r="E2153"/>
  <c r="D2153"/>
  <c r="C2153"/>
  <c r="B2153"/>
  <c r="M2152"/>
  <c r="L2152"/>
  <c r="H2152"/>
  <c r="G2152"/>
  <c r="F2152"/>
  <c r="E2152"/>
  <c r="D2152"/>
  <c r="C2152"/>
  <c r="B2152"/>
  <c r="M2151"/>
  <c r="L2151"/>
  <c r="H2151"/>
  <c r="G2151"/>
  <c r="F2151"/>
  <c r="E2151"/>
  <c r="D2151"/>
  <c r="C2151"/>
  <c r="B2151"/>
  <c r="P2138"/>
  <c r="O2138"/>
  <c r="M2138"/>
  <c r="M2139" s="1"/>
  <c r="L2138"/>
  <c r="L2139" s="1"/>
  <c r="H2138"/>
  <c r="G2138"/>
  <c r="F2138"/>
  <c r="E2138"/>
  <c r="D2138"/>
  <c r="C2138"/>
  <c r="B2138"/>
  <c r="M2132"/>
  <c r="L2132"/>
  <c r="H2132"/>
  <c r="G2132"/>
  <c r="F2132"/>
  <c r="E2132"/>
  <c r="D2132"/>
  <c r="C2132"/>
  <c r="B2132"/>
  <c r="M2131"/>
  <c r="H2131"/>
  <c r="G2131"/>
  <c r="F2131"/>
  <c r="E2131"/>
  <c r="D2131"/>
  <c r="C2131"/>
  <c r="B2131"/>
  <c r="H2130"/>
  <c r="G2130"/>
  <c r="F2130"/>
  <c r="E2130"/>
  <c r="D2130"/>
  <c r="C2130"/>
  <c r="B2130"/>
  <c r="M2124"/>
  <c r="L2124"/>
  <c r="H2124"/>
  <c r="G2124"/>
  <c r="F2124"/>
  <c r="E2124"/>
  <c r="D2124"/>
  <c r="C2124"/>
  <c r="B2124"/>
  <c r="M2123"/>
  <c r="L2123"/>
  <c r="H2123"/>
  <c r="G2123"/>
  <c r="F2123"/>
  <c r="E2123"/>
  <c r="D2123"/>
  <c r="C2123"/>
  <c r="B2123"/>
  <c r="M2122"/>
  <c r="H2122"/>
  <c r="G2122"/>
  <c r="F2122"/>
  <c r="E2122"/>
  <c r="D2122"/>
  <c r="C2122"/>
  <c r="B2122"/>
  <c r="M2121"/>
  <c r="H2121"/>
  <c r="G2121"/>
  <c r="F2121"/>
  <c r="E2121"/>
  <c r="D2121"/>
  <c r="C2121"/>
  <c r="B2121"/>
  <c r="H2120"/>
  <c r="G2120"/>
  <c r="F2120"/>
  <c r="E2120"/>
  <c r="D2120"/>
  <c r="C2120"/>
  <c r="B2120"/>
  <c r="P2114"/>
  <c r="O2114"/>
  <c r="M2114"/>
  <c r="H2114"/>
  <c r="G2114"/>
  <c r="F2114"/>
  <c r="E2114"/>
  <c r="D2114"/>
  <c r="C2114"/>
  <c r="B2114"/>
  <c r="M2101"/>
  <c r="L2101"/>
  <c r="H2101"/>
  <c r="G2101"/>
  <c r="F2101"/>
  <c r="E2101"/>
  <c r="D2101"/>
  <c r="C2101"/>
  <c r="B2101"/>
  <c r="M2100"/>
  <c r="L2100"/>
  <c r="H2100"/>
  <c r="G2100"/>
  <c r="F2100"/>
  <c r="E2100"/>
  <c r="D2100"/>
  <c r="C2100"/>
  <c r="B2100"/>
  <c r="M2099"/>
  <c r="L2099"/>
  <c r="H2099"/>
  <c r="G2099"/>
  <c r="F2099"/>
  <c r="E2099"/>
  <c r="D2099"/>
  <c r="C2099"/>
  <c r="B2099"/>
  <c r="H2098"/>
  <c r="G2098"/>
  <c r="F2098"/>
  <c r="E2098"/>
  <c r="D2098"/>
  <c r="C2098"/>
  <c r="B2098"/>
  <c r="M2097"/>
  <c r="L2097"/>
  <c r="H2097"/>
  <c r="G2097"/>
  <c r="F2097"/>
  <c r="E2097"/>
  <c r="D2097"/>
  <c r="C2097"/>
  <c r="B2097"/>
  <c r="H2096"/>
  <c r="G2096"/>
  <c r="F2096"/>
  <c r="E2096"/>
  <c r="D2096"/>
  <c r="C2096"/>
  <c r="B2096"/>
  <c r="H2095"/>
  <c r="G2095"/>
  <c r="F2095"/>
  <c r="E2095"/>
  <c r="D2095"/>
  <c r="C2095"/>
  <c r="B2095"/>
  <c r="H2094"/>
  <c r="G2094"/>
  <c r="F2094"/>
  <c r="E2094"/>
  <c r="D2094"/>
  <c r="C2094"/>
  <c r="B2094"/>
  <c r="M2093"/>
  <c r="L2093"/>
  <c r="H2093"/>
  <c r="G2093"/>
  <c r="F2093"/>
  <c r="E2093"/>
  <c r="D2093"/>
  <c r="C2093"/>
  <c r="B2093"/>
  <c r="M2092"/>
  <c r="L2092"/>
  <c r="H2092"/>
  <c r="G2092"/>
  <c r="F2092"/>
  <c r="E2092"/>
  <c r="D2092"/>
  <c r="C2092"/>
  <c r="B2092"/>
  <c r="M2091"/>
  <c r="L2091"/>
  <c r="H2091"/>
  <c r="G2091"/>
  <c r="F2091"/>
  <c r="E2091"/>
  <c r="D2091"/>
  <c r="C2091"/>
  <c r="B2091"/>
  <c r="M2090"/>
  <c r="L2090"/>
  <c r="H2090"/>
  <c r="G2090"/>
  <c r="F2090"/>
  <c r="E2090"/>
  <c r="D2090"/>
  <c r="C2090"/>
  <c r="B2090"/>
  <c r="M2089"/>
  <c r="L2089"/>
  <c r="H2089"/>
  <c r="G2089"/>
  <c r="F2089"/>
  <c r="E2089"/>
  <c r="D2089"/>
  <c r="C2089"/>
  <c r="B2089"/>
  <c r="M2088"/>
  <c r="L2088"/>
  <c r="H2088"/>
  <c r="G2088"/>
  <c r="F2088"/>
  <c r="E2088"/>
  <c r="D2088"/>
  <c r="C2088"/>
  <c r="B2088"/>
  <c r="M2087"/>
  <c r="L2087"/>
  <c r="H2087"/>
  <c r="G2087"/>
  <c r="F2087"/>
  <c r="E2087"/>
  <c r="D2087"/>
  <c r="C2087"/>
  <c r="B2087"/>
  <c r="M2086"/>
  <c r="L2086"/>
  <c r="H2086"/>
  <c r="G2086"/>
  <c r="F2086"/>
  <c r="E2086"/>
  <c r="D2086"/>
  <c r="C2086"/>
  <c r="B2086"/>
  <c r="H2085"/>
  <c r="G2085"/>
  <c r="F2085"/>
  <c r="E2085"/>
  <c r="D2085"/>
  <c r="C2085"/>
  <c r="B2085"/>
  <c r="M2084"/>
  <c r="L2084"/>
  <c r="H2084"/>
  <c r="G2084"/>
  <c r="F2084"/>
  <c r="E2084"/>
  <c r="D2084"/>
  <c r="C2084"/>
  <c r="B2084"/>
  <c r="H2083"/>
  <c r="G2083"/>
  <c r="F2083"/>
  <c r="E2083"/>
  <c r="D2083"/>
  <c r="C2083"/>
  <c r="B2083"/>
  <c r="M2082"/>
  <c r="L2082"/>
  <c r="H2082"/>
  <c r="G2082"/>
  <c r="F2082"/>
  <c r="E2082"/>
  <c r="D2082"/>
  <c r="C2082"/>
  <c r="B2082"/>
  <c r="M2081"/>
  <c r="L2081"/>
  <c r="H2081"/>
  <c r="G2081"/>
  <c r="F2081"/>
  <c r="E2081"/>
  <c r="D2081"/>
  <c r="C2081"/>
  <c r="B2081"/>
  <c r="M2080"/>
  <c r="L2080"/>
  <c r="H2080"/>
  <c r="G2080"/>
  <c r="F2080"/>
  <c r="E2080"/>
  <c r="D2080"/>
  <c r="C2080"/>
  <c r="B2080"/>
  <c r="M2079"/>
  <c r="L2079"/>
  <c r="H2079"/>
  <c r="G2079"/>
  <c r="F2079"/>
  <c r="E2079"/>
  <c r="D2079"/>
  <c r="C2079"/>
  <c r="B2079"/>
  <c r="H2078"/>
  <c r="G2078"/>
  <c r="F2078"/>
  <c r="E2078"/>
  <c r="D2078"/>
  <c r="C2078"/>
  <c r="B2078"/>
  <c r="H2077"/>
  <c r="G2077"/>
  <c r="F2077"/>
  <c r="E2077"/>
  <c r="D2077"/>
  <c r="C2077"/>
  <c r="B2077"/>
  <c r="M2076"/>
  <c r="L2076"/>
  <c r="H2076"/>
  <c r="G2076"/>
  <c r="F2076"/>
  <c r="E2076"/>
  <c r="D2076"/>
  <c r="C2076"/>
  <c r="B2076"/>
  <c r="N2075"/>
  <c r="M2075"/>
  <c r="L2075"/>
  <c r="H2075"/>
  <c r="G2075"/>
  <c r="F2075"/>
  <c r="E2075"/>
  <c r="D2075"/>
  <c r="C2075"/>
  <c r="B2075"/>
  <c r="M2074"/>
  <c r="L2074"/>
  <c r="H2074"/>
  <c r="G2074"/>
  <c r="F2074"/>
  <c r="E2074"/>
  <c r="D2074"/>
  <c r="C2074"/>
  <c r="B2074"/>
  <c r="M2073"/>
  <c r="L2073"/>
  <c r="H2073"/>
  <c r="G2073"/>
  <c r="F2073"/>
  <c r="E2073"/>
  <c r="D2073"/>
  <c r="C2073"/>
  <c r="B2073"/>
  <c r="M2072"/>
  <c r="L2072"/>
  <c r="H2072"/>
  <c r="G2072"/>
  <c r="F2072"/>
  <c r="E2072"/>
  <c r="D2072"/>
  <c r="C2072"/>
  <c r="B2072"/>
  <c r="M2063"/>
  <c r="L2063"/>
  <c r="H2063"/>
  <c r="G2063"/>
  <c r="F2063"/>
  <c r="E2063"/>
  <c r="D2063"/>
  <c r="C2063"/>
  <c r="B2063"/>
  <c r="M2062"/>
  <c r="L2062"/>
  <c r="H2062"/>
  <c r="G2062"/>
  <c r="F2062"/>
  <c r="E2062"/>
  <c r="D2062"/>
  <c r="C2062"/>
  <c r="B2062"/>
  <c r="M2061"/>
  <c r="L2061"/>
  <c r="H2061"/>
  <c r="G2061"/>
  <c r="F2061"/>
  <c r="E2061"/>
  <c r="D2061"/>
  <c r="C2061"/>
  <c r="B2061"/>
  <c r="M2060"/>
  <c r="H2060"/>
  <c r="G2060"/>
  <c r="F2060"/>
  <c r="E2060"/>
  <c r="D2060"/>
  <c r="C2060"/>
  <c r="B2060"/>
  <c r="M2059"/>
  <c r="L2059"/>
  <c r="H2059"/>
  <c r="G2059"/>
  <c r="F2059"/>
  <c r="E2059"/>
  <c r="D2059"/>
  <c r="C2059"/>
  <c r="B2059"/>
  <c r="H2058"/>
  <c r="G2058"/>
  <c r="F2058"/>
  <c r="E2058"/>
  <c r="D2058"/>
  <c r="C2058"/>
  <c r="B2058"/>
  <c r="M2053"/>
  <c r="H2053"/>
  <c r="G2053"/>
  <c r="F2053"/>
  <c r="E2053"/>
  <c r="D2053"/>
  <c r="C2053"/>
  <c r="B2053"/>
  <c r="M2052"/>
  <c r="H2052"/>
  <c r="G2052"/>
  <c r="F2052"/>
  <c r="E2052"/>
  <c r="D2052"/>
  <c r="C2052"/>
  <c r="B2052"/>
  <c r="M2051"/>
  <c r="H2051"/>
  <c r="G2051"/>
  <c r="F2051"/>
  <c r="E2051"/>
  <c r="D2051"/>
  <c r="C2051"/>
  <c r="B2051"/>
  <c r="M2050"/>
  <c r="L2050"/>
  <c r="H2050"/>
  <c r="G2050"/>
  <c r="F2050"/>
  <c r="E2050"/>
  <c r="D2050"/>
  <c r="C2050"/>
  <c r="B2050"/>
  <c r="M2049"/>
  <c r="L2049"/>
  <c r="H2049"/>
  <c r="G2049"/>
  <c r="F2049"/>
  <c r="E2049"/>
  <c r="D2049"/>
  <c r="C2049"/>
  <c r="B2049"/>
  <c r="M2048"/>
  <c r="H2048"/>
  <c r="G2048"/>
  <c r="F2048"/>
  <c r="E2048"/>
  <c r="D2048"/>
  <c r="C2048"/>
  <c r="B2048"/>
  <c r="M2047"/>
  <c r="L2047"/>
  <c r="H2047"/>
  <c r="G2047"/>
  <c r="F2047"/>
  <c r="E2047"/>
  <c r="D2047"/>
  <c r="C2047"/>
  <c r="B2047"/>
  <c r="M2046"/>
  <c r="L2046"/>
  <c r="H2046"/>
  <c r="G2046"/>
  <c r="F2046"/>
  <c r="E2046"/>
  <c r="D2046"/>
  <c r="C2046"/>
  <c r="B2046"/>
  <c r="M2045"/>
  <c r="L2045"/>
  <c r="H2045"/>
  <c r="G2045"/>
  <c r="F2045"/>
  <c r="E2045"/>
  <c r="D2045"/>
  <c r="C2045"/>
  <c r="B2045"/>
  <c r="M2044"/>
  <c r="L2044"/>
  <c r="H2044"/>
  <c r="G2044"/>
  <c r="F2044"/>
  <c r="E2044"/>
  <c r="D2044"/>
  <c r="C2044"/>
  <c r="B2044"/>
  <c r="N2031"/>
  <c r="M2031"/>
  <c r="L2031"/>
  <c r="H2031"/>
  <c r="G2031"/>
  <c r="F2031"/>
  <c r="E2031"/>
  <c r="D2031"/>
  <c r="C2031"/>
  <c r="B2031"/>
  <c r="H2030"/>
  <c r="G2030"/>
  <c r="F2030"/>
  <c r="E2030"/>
  <c r="D2030"/>
  <c r="C2030"/>
  <c r="B2030"/>
  <c r="M2029"/>
  <c r="L2029"/>
  <c r="H2029"/>
  <c r="G2029"/>
  <c r="F2029"/>
  <c r="E2029"/>
  <c r="D2029"/>
  <c r="C2029"/>
  <c r="B2029"/>
  <c r="H2028"/>
  <c r="G2028"/>
  <c r="F2028"/>
  <c r="E2028"/>
  <c r="D2028"/>
  <c r="C2028"/>
  <c r="B2028"/>
  <c r="M2027"/>
  <c r="L2027"/>
  <c r="H2027"/>
  <c r="G2027"/>
  <c r="F2027"/>
  <c r="E2027"/>
  <c r="D2027"/>
  <c r="C2027"/>
  <c r="B2027"/>
  <c r="H2026"/>
  <c r="G2026"/>
  <c r="F2026"/>
  <c r="E2026"/>
  <c r="D2026"/>
  <c r="C2026"/>
  <c r="B2026"/>
  <c r="H2025"/>
  <c r="G2025"/>
  <c r="F2025"/>
  <c r="E2025"/>
  <c r="D2025"/>
  <c r="C2025"/>
  <c r="B2025"/>
  <c r="M2024"/>
  <c r="L2024"/>
  <c r="H2024"/>
  <c r="G2024"/>
  <c r="F2024"/>
  <c r="E2024"/>
  <c r="D2024"/>
  <c r="C2024"/>
  <c r="B2024"/>
  <c r="H2023"/>
  <c r="G2023"/>
  <c r="F2023"/>
  <c r="E2023"/>
  <c r="D2023"/>
  <c r="C2023"/>
  <c r="B2023"/>
  <c r="M2022"/>
  <c r="L2022"/>
  <c r="H2022"/>
  <c r="G2022"/>
  <c r="F2022"/>
  <c r="E2022"/>
  <c r="D2022"/>
  <c r="C2022"/>
  <c r="B2022"/>
  <c r="H2021"/>
  <c r="G2021"/>
  <c r="F2021"/>
  <c r="E2021"/>
  <c r="D2021"/>
  <c r="C2021"/>
  <c r="B2021"/>
  <c r="M2020"/>
  <c r="L2020"/>
  <c r="H2020"/>
  <c r="G2020"/>
  <c r="F2020"/>
  <c r="E2020"/>
  <c r="D2020"/>
  <c r="C2020"/>
  <c r="B2020"/>
  <c r="H2019"/>
  <c r="G2019"/>
  <c r="F2019"/>
  <c r="E2019"/>
  <c r="D2019"/>
  <c r="C2019"/>
  <c r="B2019"/>
  <c r="M2018"/>
  <c r="L2018"/>
  <c r="H2018"/>
  <c r="G2018"/>
  <c r="F2018"/>
  <c r="E2018"/>
  <c r="D2018"/>
  <c r="C2018"/>
  <c r="B2018"/>
  <c r="M2017"/>
  <c r="L2017"/>
  <c r="H2017"/>
  <c r="G2017"/>
  <c r="F2017"/>
  <c r="E2017"/>
  <c r="D2017"/>
  <c r="C2017"/>
  <c r="B2017"/>
  <c r="H2016"/>
  <c r="G2016"/>
  <c r="F2016"/>
  <c r="E2016"/>
  <c r="D2016"/>
  <c r="C2016"/>
  <c r="B2016"/>
  <c r="H2015"/>
  <c r="G2015"/>
  <c r="F2015"/>
  <c r="E2015"/>
  <c r="D2015"/>
  <c r="C2015"/>
  <c r="B2015"/>
  <c r="H2014"/>
  <c r="G2014"/>
  <c r="F2014"/>
  <c r="E2014"/>
  <c r="D2014"/>
  <c r="C2014"/>
  <c r="B2014"/>
  <c r="H2013"/>
  <c r="G2013"/>
  <c r="F2013"/>
  <c r="E2013"/>
  <c r="D2013"/>
  <c r="C2013"/>
  <c r="B2013"/>
  <c r="M2012"/>
  <c r="L2012"/>
  <c r="H2012"/>
  <c r="G2012"/>
  <c r="F2012"/>
  <c r="E2012"/>
  <c r="D2012"/>
  <c r="C2012"/>
  <c r="B2012"/>
  <c r="H2011"/>
  <c r="G2011"/>
  <c r="F2011"/>
  <c r="E2011"/>
  <c r="D2011"/>
  <c r="C2011"/>
  <c r="B2011"/>
  <c r="H2010"/>
  <c r="G2010"/>
  <c r="F2010"/>
  <c r="E2010"/>
  <c r="D2010"/>
  <c r="C2010"/>
  <c r="B2010"/>
  <c r="H2009"/>
  <c r="G2009"/>
  <c r="F2009"/>
  <c r="E2009"/>
  <c r="D2009"/>
  <c r="C2009"/>
  <c r="B2009"/>
  <c r="H2008"/>
  <c r="G2008"/>
  <c r="F2008"/>
  <c r="E2008"/>
  <c r="D2008"/>
  <c r="C2008"/>
  <c r="B2008"/>
  <c r="H2007"/>
  <c r="G2007"/>
  <c r="F2007"/>
  <c r="E2007"/>
  <c r="D2007"/>
  <c r="C2007"/>
  <c r="B2007"/>
  <c r="H2006"/>
  <c r="G2006"/>
  <c r="F2006"/>
  <c r="E2006"/>
  <c r="D2006"/>
  <c r="C2006"/>
  <c r="B2006"/>
  <c r="M2005"/>
  <c r="L2005"/>
  <c r="H2005"/>
  <c r="G2005"/>
  <c r="F2005"/>
  <c r="E2005"/>
  <c r="D2005"/>
  <c r="C2005"/>
  <c r="B2005"/>
  <c r="M2004"/>
  <c r="L2004"/>
  <c r="H2004"/>
  <c r="G2004"/>
  <c r="F2004"/>
  <c r="E2004"/>
  <c r="D2004"/>
  <c r="C2004"/>
  <c r="B2004"/>
  <c r="M2003"/>
  <c r="L2003"/>
  <c r="H2003"/>
  <c r="F2003"/>
  <c r="E2003"/>
  <c r="D2003"/>
  <c r="C2003"/>
  <c r="B2003"/>
  <c r="H2002"/>
  <c r="G2002"/>
  <c r="F2002"/>
  <c r="E2002"/>
  <c r="D2002"/>
  <c r="C2002"/>
  <c r="B2002"/>
  <c r="H2001"/>
  <c r="G2001"/>
  <c r="F2001"/>
  <c r="E2001"/>
  <c r="D2001"/>
  <c r="C2001"/>
  <c r="B2001"/>
  <c r="M2000"/>
  <c r="L2000"/>
  <c r="H2000"/>
  <c r="G2000"/>
  <c r="F2000"/>
  <c r="E2000"/>
  <c r="D2000"/>
  <c r="C2000"/>
  <c r="B2000"/>
  <c r="H1999"/>
  <c r="G1999"/>
  <c r="F1999"/>
  <c r="E1999"/>
  <c r="D1999"/>
  <c r="C1999"/>
  <c r="B1999"/>
  <c r="M1998"/>
  <c r="L1998"/>
  <c r="H1998"/>
  <c r="G1998"/>
  <c r="F1998"/>
  <c r="E1998"/>
  <c r="D1998"/>
  <c r="C1998"/>
  <c r="B1998"/>
  <c r="H1997"/>
  <c r="G1997"/>
  <c r="F1997"/>
  <c r="E1997"/>
  <c r="D1997"/>
  <c r="C1997"/>
  <c r="B1997"/>
  <c r="H1996"/>
  <c r="G1996"/>
  <c r="F1996"/>
  <c r="E1996"/>
  <c r="D1996"/>
  <c r="C1996"/>
  <c r="B1996"/>
  <c r="H1982"/>
  <c r="G1982"/>
  <c r="F1982"/>
  <c r="E1982"/>
  <c r="D1982"/>
  <c r="C1982"/>
  <c r="B1982"/>
  <c r="M1981"/>
  <c r="L1981"/>
  <c r="H1981"/>
  <c r="F1981"/>
  <c r="E1981"/>
  <c r="D1981"/>
  <c r="C1981"/>
  <c r="B1981"/>
  <c r="H1980"/>
  <c r="G1980"/>
  <c r="F1980"/>
  <c r="E1980"/>
  <c r="D1980"/>
  <c r="C1980"/>
  <c r="B1980"/>
  <c r="H1979"/>
  <c r="G1979"/>
  <c r="F1979"/>
  <c r="E1979"/>
  <c r="D1979"/>
  <c r="C1979"/>
  <c r="B1979"/>
  <c r="H1978"/>
  <c r="G1978"/>
  <c r="F1978"/>
  <c r="E1978"/>
  <c r="D1978"/>
  <c r="C1978"/>
  <c r="B1978"/>
  <c r="H1977"/>
  <c r="G1977"/>
  <c r="F1977"/>
  <c r="E1977"/>
  <c r="D1977"/>
  <c r="C1977"/>
  <c r="B1977"/>
  <c r="M1976"/>
  <c r="L1976"/>
  <c r="H1976"/>
  <c r="G1976"/>
  <c r="F1976"/>
  <c r="E1976"/>
  <c r="D1976"/>
  <c r="C1976"/>
  <c r="B1976"/>
  <c r="H1975"/>
  <c r="G1975"/>
  <c r="F1975"/>
  <c r="E1975"/>
  <c r="D1975"/>
  <c r="C1975"/>
  <c r="B1975"/>
  <c r="M1974"/>
  <c r="L1974"/>
  <c r="H1974"/>
  <c r="G1974"/>
  <c r="F1974"/>
  <c r="E1974"/>
  <c r="D1974"/>
  <c r="C1974"/>
  <c r="B1974"/>
  <c r="H1973"/>
  <c r="G1973"/>
  <c r="F1973"/>
  <c r="E1973"/>
  <c r="D1973"/>
  <c r="C1973"/>
  <c r="B1973"/>
  <c r="M1972"/>
  <c r="L1972"/>
  <c r="H1972"/>
  <c r="G1972"/>
  <c r="F1972"/>
  <c r="E1972"/>
  <c r="D1972"/>
  <c r="C1972"/>
  <c r="B1972"/>
  <c r="H1971"/>
  <c r="G1971"/>
  <c r="F1971"/>
  <c r="E1971"/>
  <c r="D1971"/>
  <c r="C1971"/>
  <c r="B1971"/>
  <c r="M1970"/>
  <c r="L1970"/>
  <c r="H1970"/>
  <c r="G1970"/>
  <c r="F1970"/>
  <c r="E1970"/>
  <c r="D1970"/>
  <c r="C1970"/>
  <c r="B1970"/>
  <c r="H1969"/>
  <c r="G1969"/>
  <c r="F1969"/>
  <c r="E1969"/>
  <c r="D1969"/>
  <c r="C1969"/>
  <c r="B1969"/>
  <c r="M1968"/>
  <c r="L1968"/>
  <c r="H1968"/>
  <c r="G1968"/>
  <c r="F1968"/>
  <c r="E1968"/>
  <c r="D1968"/>
  <c r="C1968"/>
  <c r="B1968"/>
  <c r="H1967"/>
  <c r="G1967"/>
  <c r="F1967"/>
  <c r="E1967"/>
  <c r="D1967"/>
  <c r="C1967"/>
  <c r="B1967"/>
  <c r="M1966"/>
  <c r="L1966"/>
  <c r="H1966"/>
  <c r="G1966"/>
  <c r="F1966"/>
  <c r="E1966"/>
  <c r="D1966"/>
  <c r="C1966"/>
  <c r="B1966"/>
  <c r="H1965"/>
  <c r="G1965"/>
  <c r="F1965"/>
  <c r="E1965"/>
  <c r="D1965"/>
  <c r="C1965"/>
  <c r="B1965"/>
  <c r="M1964"/>
  <c r="L1964"/>
  <c r="H1964"/>
  <c r="G1964"/>
  <c r="F1964"/>
  <c r="E1964"/>
  <c r="D1964"/>
  <c r="C1964"/>
  <c r="B1964"/>
  <c r="M1963"/>
  <c r="L1963"/>
  <c r="H1963"/>
  <c r="G1963"/>
  <c r="F1963"/>
  <c r="E1963"/>
  <c r="D1963"/>
  <c r="C1963"/>
  <c r="B1963"/>
  <c r="M1962"/>
  <c r="L1962"/>
  <c r="H1962"/>
  <c r="G1962"/>
  <c r="F1962"/>
  <c r="E1962"/>
  <c r="D1962"/>
  <c r="C1962"/>
  <c r="B1962"/>
  <c r="H1961"/>
  <c r="G1961"/>
  <c r="F1961"/>
  <c r="E1961"/>
  <c r="D1961"/>
  <c r="C1961"/>
  <c r="B1961"/>
  <c r="M1960"/>
  <c r="L1960"/>
  <c r="H1960"/>
  <c r="G1960"/>
  <c r="F1960"/>
  <c r="E1960"/>
  <c r="D1960"/>
  <c r="C1960"/>
  <c r="B1960"/>
  <c r="H1959"/>
  <c r="G1959"/>
  <c r="F1959"/>
  <c r="E1959"/>
  <c r="D1959"/>
  <c r="C1959"/>
  <c r="B1959"/>
  <c r="M1958"/>
  <c r="L1958"/>
  <c r="H1958"/>
  <c r="G1958"/>
  <c r="F1958"/>
  <c r="E1958"/>
  <c r="D1958"/>
  <c r="C1958"/>
  <c r="B1958"/>
  <c r="H1957"/>
  <c r="G1957"/>
  <c r="F1957"/>
  <c r="E1957"/>
  <c r="D1957"/>
  <c r="C1957"/>
  <c r="B1957"/>
  <c r="M1956"/>
  <c r="L1956"/>
  <c r="B1956"/>
  <c r="M1940"/>
  <c r="L1940"/>
  <c r="H1940"/>
  <c r="G1940"/>
  <c r="F1940"/>
  <c r="E1940"/>
  <c r="D1940"/>
  <c r="C1940"/>
  <c r="B1940"/>
  <c r="M1939"/>
  <c r="L1939"/>
  <c r="H1939"/>
  <c r="G1939"/>
  <c r="F1939"/>
  <c r="E1939"/>
  <c r="D1939"/>
  <c r="C1939"/>
  <c r="B1939"/>
  <c r="M1938"/>
  <c r="L1938"/>
  <c r="H1938"/>
  <c r="G1938"/>
  <c r="F1938"/>
  <c r="E1938"/>
  <c r="D1938"/>
  <c r="C1938"/>
  <c r="B1938"/>
  <c r="M1937"/>
  <c r="L1937"/>
  <c r="H1937"/>
  <c r="G1937"/>
  <c r="F1937"/>
  <c r="E1937"/>
  <c r="D1937"/>
  <c r="C1937"/>
  <c r="B1937"/>
  <c r="M1936"/>
  <c r="L1936"/>
  <c r="H1936"/>
  <c r="G1936"/>
  <c r="F1936"/>
  <c r="E1936"/>
  <c r="D1936"/>
  <c r="C1936"/>
  <c r="B1936"/>
  <c r="M1935"/>
  <c r="L1935"/>
  <c r="H1935"/>
  <c r="G1935"/>
  <c r="F1935"/>
  <c r="E1935"/>
  <c r="D1935"/>
  <c r="C1935"/>
  <c r="B1935"/>
  <c r="M1934"/>
  <c r="L1934"/>
  <c r="H1934"/>
  <c r="G1934"/>
  <c r="F1934"/>
  <c r="E1934"/>
  <c r="D1934"/>
  <c r="C1934"/>
  <c r="B1934"/>
  <c r="M1933"/>
  <c r="L1933"/>
  <c r="H1933"/>
  <c r="G1933"/>
  <c r="F1933"/>
  <c r="E1933"/>
  <c r="D1933"/>
  <c r="C1933"/>
  <c r="B1933"/>
  <c r="M1932"/>
  <c r="L1932"/>
  <c r="H1932"/>
  <c r="G1932"/>
  <c r="F1932"/>
  <c r="E1932"/>
  <c r="D1932"/>
  <c r="C1932"/>
  <c r="B1932"/>
  <c r="M1931"/>
  <c r="L1931"/>
  <c r="H1931"/>
  <c r="G1931"/>
  <c r="F1931"/>
  <c r="E1931"/>
  <c r="D1931"/>
  <c r="C1931"/>
  <c r="B1931"/>
  <c r="M1930"/>
  <c r="L1930"/>
  <c r="H1930"/>
  <c r="G1930"/>
  <c r="F1930"/>
  <c r="E1930"/>
  <c r="D1930"/>
  <c r="C1930"/>
  <c r="B1930"/>
  <c r="M1929"/>
  <c r="L1929"/>
  <c r="H1929"/>
  <c r="G1929"/>
  <c r="F1929"/>
  <c r="E1929"/>
  <c r="D1929"/>
  <c r="C1929"/>
  <c r="B1929"/>
  <c r="M1928"/>
  <c r="L1928"/>
  <c r="H1928"/>
  <c r="G1928"/>
  <c r="F1928"/>
  <c r="E1928"/>
  <c r="D1928"/>
  <c r="C1928"/>
  <c r="B1928"/>
  <c r="M1915"/>
  <c r="L1915"/>
  <c r="H1915"/>
  <c r="G1915"/>
  <c r="F1915"/>
  <c r="E1915"/>
  <c r="D1915"/>
  <c r="C1915"/>
  <c r="B1915"/>
  <c r="M1914"/>
  <c r="L1914"/>
  <c r="H1914"/>
  <c r="G1914"/>
  <c r="F1914"/>
  <c r="E1914"/>
  <c r="D1914"/>
  <c r="C1914"/>
  <c r="B1914"/>
  <c r="M1913"/>
  <c r="L1913"/>
  <c r="H1913"/>
  <c r="G1913"/>
  <c r="F1913"/>
  <c r="E1913"/>
  <c r="D1913"/>
  <c r="C1913"/>
  <c r="B1913"/>
  <c r="M1912"/>
  <c r="L1912"/>
  <c r="H1912"/>
  <c r="G1912"/>
  <c r="F1912"/>
  <c r="E1912"/>
  <c r="D1912"/>
  <c r="C1912"/>
  <c r="B1912"/>
  <c r="M1911"/>
  <c r="L1911"/>
  <c r="H1911"/>
  <c r="G1911"/>
  <c r="F1911"/>
  <c r="E1911"/>
  <c r="D1911"/>
  <c r="C1911"/>
  <c r="B1911"/>
  <c r="M1910"/>
  <c r="L1910"/>
  <c r="H1910"/>
  <c r="G1910"/>
  <c r="F1910"/>
  <c r="E1910"/>
  <c r="D1910"/>
  <c r="C1910"/>
  <c r="B1910"/>
  <c r="M1909"/>
  <c r="L1909"/>
  <c r="H1909"/>
  <c r="G1909"/>
  <c r="F1909"/>
  <c r="E1909"/>
  <c r="D1909"/>
  <c r="C1909"/>
  <c r="B1909"/>
  <c r="M1908"/>
  <c r="L1908"/>
  <c r="H1908"/>
  <c r="G1908"/>
  <c r="F1908"/>
  <c r="E1908"/>
  <c r="D1908"/>
  <c r="C1908"/>
  <c r="B1908"/>
  <c r="M1907"/>
  <c r="L1907"/>
  <c r="H1907"/>
  <c r="G1907"/>
  <c r="F1907"/>
  <c r="E1907"/>
  <c r="D1907"/>
  <c r="C1907"/>
  <c r="B1907"/>
  <c r="M1906"/>
  <c r="L1906"/>
  <c r="H1906"/>
  <c r="G1906"/>
  <c r="F1906"/>
  <c r="E1906"/>
  <c r="D1906"/>
  <c r="C1906"/>
  <c r="B1906"/>
  <c r="M1905"/>
  <c r="L1905"/>
  <c r="H1905"/>
  <c r="G1905"/>
  <c r="F1905"/>
  <c r="E1905"/>
  <c r="D1905"/>
  <c r="C1905"/>
  <c r="B1905"/>
  <c r="M1904"/>
  <c r="L1904"/>
  <c r="H1904"/>
  <c r="G1904"/>
  <c r="F1904"/>
  <c r="E1904"/>
  <c r="D1904"/>
  <c r="C1904"/>
  <c r="B1904"/>
  <c r="M1903"/>
  <c r="L1903"/>
  <c r="H1903"/>
  <c r="G1903"/>
  <c r="F1903"/>
  <c r="E1903"/>
  <c r="D1903"/>
  <c r="C1903"/>
  <c r="B1903"/>
  <c r="M1902"/>
  <c r="L1902"/>
  <c r="H1902"/>
  <c r="G1902"/>
  <c r="F1902"/>
  <c r="E1902"/>
  <c r="D1902"/>
  <c r="C1902"/>
  <c r="B1902"/>
  <c r="M1901"/>
  <c r="L1901"/>
  <c r="H1901"/>
  <c r="G1901"/>
  <c r="F1901"/>
  <c r="E1901"/>
  <c r="D1901"/>
  <c r="C1901"/>
  <c r="B1901"/>
  <c r="M1900"/>
  <c r="L1900"/>
  <c r="H1900"/>
  <c r="G1900"/>
  <c r="F1900"/>
  <c r="E1900"/>
  <c r="D1900"/>
  <c r="C1900"/>
  <c r="B1900"/>
  <c r="M1899"/>
  <c r="L1899"/>
  <c r="H1899"/>
  <c r="G1899"/>
  <c r="F1899"/>
  <c r="E1899"/>
  <c r="D1899"/>
  <c r="C1899"/>
  <c r="B1899"/>
  <c r="M1898"/>
  <c r="L1898"/>
  <c r="H1898"/>
  <c r="G1898"/>
  <c r="F1898"/>
  <c r="E1898"/>
  <c r="D1898"/>
  <c r="C1898"/>
  <c r="B1898"/>
  <c r="M1897"/>
  <c r="L1897"/>
  <c r="H1897"/>
  <c r="G1897"/>
  <c r="F1897"/>
  <c r="E1897"/>
  <c r="D1897"/>
  <c r="C1897"/>
  <c r="B1897"/>
  <c r="M1896"/>
  <c r="L1896"/>
  <c r="H1896"/>
  <c r="G1896"/>
  <c r="F1896"/>
  <c r="E1896"/>
  <c r="D1896"/>
  <c r="C1896"/>
  <c r="B1896"/>
  <c r="M1895"/>
  <c r="L1895"/>
  <c r="H1895"/>
  <c r="G1895"/>
  <c r="F1895"/>
  <c r="E1895"/>
  <c r="D1895"/>
  <c r="C1895"/>
  <c r="B1895"/>
  <c r="M1894"/>
  <c r="L1894"/>
  <c r="H1894"/>
  <c r="G1894"/>
  <c r="F1894"/>
  <c r="E1894"/>
  <c r="D1894"/>
  <c r="C1894"/>
  <c r="B1894"/>
  <c r="M1893"/>
  <c r="L1893"/>
  <c r="H1893"/>
  <c r="G1893"/>
  <c r="F1893"/>
  <c r="E1893"/>
  <c r="D1893"/>
  <c r="C1893"/>
  <c r="B1893"/>
  <c r="M1892"/>
  <c r="L1892"/>
  <c r="H1892"/>
  <c r="G1892"/>
  <c r="F1892"/>
  <c r="E1892"/>
  <c r="D1892"/>
  <c r="C1892"/>
  <c r="B1892"/>
  <c r="M1891"/>
  <c r="L1891"/>
  <c r="H1891"/>
  <c r="G1891"/>
  <c r="F1891"/>
  <c r="E1891"/>
  <c r="D1891"/>
  <c r="C1891"/>
  <c r="B1891"/>
  <c r="M1890"/>
  <c r="L1890"/>
  <c r="H1890"/>
  <c r="G1890"/>
  <c r="F1890"/>
  <c r="E1890"/>
  <c r="D1890"/>
  <c r="C1890"/>
  <c r="B1890"/>
  <c r="M1889"/>
  <c r="L1889"/>
  <c r="H1889"/>
  <c r="G1889"/>
  <c r="F1889"/>
  <c r="E1889"/>
  <c r="D1889"/>
  <c r="C1889"/>
  <c r="B1889"/>
  <c r="M1888"/>
  <c r="L1888"/>
  <c r="H1888"/>
  <c r="G1888"/>
  <c r="F1888"/>
  <c r="E1888"/>
  <c r="D1888"/>
  <c r="C1888"/>
  <c r="B1888"/>
  <c r="M1873"/>
  <c r="L1873"/>
  <c r="H1873"/>
  <c r="G1873"/>
  <c r="F1873"/>
  <c r="E1873"/>
  <c r="D1873"/>
  <c r="C1873"/>
  <c r="B1873"/>
  <c r="M1872"/>
  <c r="L1872"/>
  <c r="H1872"/>
  <c r="G1872"/>
  <c r="F1872"/>
  <c r="E1872"/>
  <c r="D1872"/>
  <c r="C1872"/>
  <c r="B1872"/>
  <c r="H1871"/>
  <c r="G1871"/>
  <c r="F1871"/>
  <c r="E1871"/>
  <c r="D1871"/>
  <c r="C1871"/>
  <c r="B1871"/>
  <c r="M1870"/>
  <c r="L1870"/>
  <c r="H1870"/>
  <c r="G1870"/>
  <c r="F1870"/>
  <c r="E1870"/>
  <c r="D1870"/>
  <c r="C1870"/>
  <c r="B1870"/>
  <c r="M1869"/>
  <c r="L1869"/>
  <c r="H1869"/>
  <c r="G1869"/>
  <c r="F1869"/>
  <c r="E1869"/>
  <c r="D1869"/>
  <c r="C1869"/>
  <c r="B1869"/>
  <c r="H1868"/>
  <c r="G1868"/>
  <c r="F1868"/>
  <c r="E1868"/>
  <c r="D1868"/>
  <c r="C1868"/>
  <c r="B1868"/>
  <c r="H1867"/>
  <c r="G1867"/>
  <c r="F1867"/>
  <c r="E1867"/>
  <c r="D1867"/>
  <c r="C1867"/>
  <c r="B1867"/>
  <c r="M1866"/>
  <c r="L1866"/>
  <c r="H1866"/>
  <c r="G1866"/>
  <c r="F1866"/>
  <c r="E1866"/>
  <c r="D1866"/>
  <c r="C1866"/>
  <c r="B1866"/>
  <c r="M1865"/>
  <c r="L1865"/>
  <c r="H1865"/>
  <c r="G1865"/>
  <c r="F1865"/>
  <c r="E1865"/>
  <c r="D1865"/>
  <c r="C1865"/>
  <c r="B1865"/>
  <c r="M1864"/>
  <c r="L1864"/>
  <c r="H1864"/>
  <c r="G1864"/>
  <c r="F1864"/>
  <c r="E1864"/>
  <c r="D1864"/>
  <c r="C1864"/>
  <c r="B1864"/>
  <c r="M1863"/>
  <c r="L1863"/>
  <c r="H1863"/>
  <c r="G1863"/>
  <c r="F1863"/>
  <c r="E1863"/>
  <c r="D1863"/>
  <c r="C1863"/>
  <c r="B1863"/>
  <c r="M1862"/>
  <c r="L1862"/>
  <c r="H1862"/>
  <c r="G1862"/>
  <c r="F1862"/>
  <c r="E1862"/>
  <c r="D1862"/>
  <c r="C1862"/>
  <c r="B1862"/>
  <c r="M1861"/>
  <c r="L1861"/>
  <c r="H1861"/>
  <c r="G1861"/>
  <c r="F1861"/>
  <c r="E1861"/>
  <c r="D1861"/>
  <c r="C1861"/>
  <c r="B1861"/>
  <c r="M1860"/>
  <c r="L1860"/>
  <c r="H1860"/>
  <c r="G1860"/>
  <c r="F1860"/>
  <c r="E1860"/>
  <c r="D1860"/>
  <c r="C1860"/>
  <c r="B1860"/>
  <c r="H1859"/>
  <c r="G1859"/>
  <c r="F1859"/>
  <c r="E1859"/>
  <c r="D1859"/>
  <c r="C1859"/>
  <c r="B1859"/>
  <c r="H1858"/>
  <c r="G1858"/>
  <c r="F1858"/>
  <c r="E1858"/>
  <c r="D1858"/>
  <c r="C1858"/>
  <c r="B1858"/>
  <c r="H1857"/>
  <c r="G1857"/>
  <c r="F1857"/>
  <c r="E1857"/>
  <c r="D1857"/>
  <c r="C1857"/>
  <c r="B1857"/>
  <c r="H1845"/>
  <c r="G1845"/>
  <c r="F1845"/>
  <c r="E1845"/>
  <c r="D1845"/>
  <c r="C1845"/>
  <c r="B1845"/>
  <c r="H1844"/>
  <c r="G1844"/>
  <c r="F1844"/>
  <c r="E1844"/>
  <c r="D1844"/>
  <c r="C1844"/>
  <c r="B1844"/>
  <c r="M1843"/>
  <c r="H1843"/>
  <c r="G1843"/>
  <c r="F1843"/>
  <c r="E1843"/>
  <c r="D1843"/>
  <c r="C1843"/>
  <c r="B1843"/>
  <c r="M1842"/>
  <c r="L1842"/>
  <c r="H1842"/>
  <c r="G1842"/>
  <c r="F1842"/>
  <c r="E1842"/>
  <c r="D1842"/>
  <c r="C1842"/>
  <c r="B1842"/>
  <c r="H1841"/>
  <c r="G1841"/>
  <c r="F1841"/>
  <c r="E1841"/>
  <c r="D1841"/>
  <c r="C1841"/>
  <c r="B1841"/>
  <c r="M1840"/>
  <c r="L1840"/>
  <c r="H1840"/>
  <c r="G1840"/>
  <c r="F1840"/>
  <c r="E1840"/>
  <c r="D1840"/>
  <c r="C1840"/>
  <c r="B1840"/>
  <c r="H1839"/>
  <c r="G1839"/>
  <c r="F1839"/>
  <c r="E1839"/>
  <c r="D1839"/>
  <c r="C1839"/>
  <c r="B1839"/>
  <c r="M1838"/>
  <c r="L1838"/>
  <c r="H1838"/>
  <c r="G1838"/>
  <c r="F1838"/>
  <c r="E1838"/>
  <c r="D1838"/>
  <c r="C1838"/>
  <c r="B1838"/>
  <c r="M1837"/>
  <c r="L1837"/>
  <c r="H1837"/>
  <c r="G1837"/>
  <c r="F1837"/>
  <c r="E1837"/>
  <c r="D1837"/>
  <c r="C1837"/>
  <c r="B1837"/>
  <c r="M1836"/>
  <c r="H1836"/>
  <c r="G1836"/>
  <c r="F1836"/>
  <c r="E1836"/>
  <c r="D1836"/>
  <c r="C1836"/>
  <c r="B1836"/>
  <c r="M1835"/>
  <c r="L1835"/>
  <c r="H1835"/>
  <c r="G1835"/>
  <c r="F1835"/>
  <c r="E1835"/>
  <c r="D1835"/>
  <c r="C1835"/>
  <c r="B1835"/>
  <c r="M1834"/>
  <c r="L1834"/>
  <c r="H1834"/>
  <c r="G1834"/>
  <c r="F1834"/>
  <c r="E1834"/>
  <c r="D1834"/>
  <c r="C1834"/>
  <c r="B1834"/>
  <c r="M1833"/>
  <c r="L1833"/>
  <c r="H1833"/>
  <c r="G1833"/>
  <c r="F1833"/>
  <c r="E1833"/>
  <c r="D1833"/>
  <c r="C1833"/>
  <c r="B1833"/>
  <c r="M1832"/>
  <c r="L1832"/>
  <c r="H1832"/>
  <c r="G1832"/>
  <c r="F1832"/>
  <c r="E1832"/>
  <c r="D1832"/>
  <c r="C1832"/>
  <c r="B1832"/>
  <c r="M1831"/>
  <c r="L1831"/>
  <c r="H1831"/>
  <c r="G1831"/>
  <c r="F1831"/>
  <c r="E1831"/>
  <c r="D1831"/>
  <c r="C1831"/>
  <c r="B1831"/>
  <c r="M1830"/>
  <c r="H1830"/>
  <c r="G1830"/>
  <c r="F1830"/>
  <c r="E1830"/>
  <c r="D1830"/>
  <c r="C1830"/>
  <c r="B1830"/>
  <c r="M1829"/>
  <c r="H1829"/>
  <c r="G1829"/>
  <c r="F1829"/>
  <c r="E1829"/>
  <c r="D1829"/>
  <c r="C1829"/>
  <c r="B1829"/>
  <c r="M1828"/>
  <c r="H1828"/>
  <c r="G1828"/>
  <c r="F1828"/>
  <c r="E1828"/>
  <c r="D1828"/>
  <c r="C1828"/>
  <c r="B1828"/>
  <c r="M1827"/>
  <c r="L1827"/>
  <c r="H1827"/>
  <c r="G1827"/>
  <c r="F1827"/>
  <c r="E1827"/>
  <c r="D1827"/>
  <c r="C1827"/>
  <c r="B1827"/>
  <c r="M1826"/>
  <c r="L1826"/>
  <c r="H1826"/>
  <c r="G1826"/>
  <c r="F1826"/>
  <c r="E1826"/>
  <c r="D1826"/>
  <c r="C1826"/>
  <c r="B1826"/>
  <c r="M1825"/>
  <c r="H1825"/>
  <c r="G1825"/>
  <c r="F1825"/>
  <c r="E1825"/>
  <c r="D1825"/>
  <c r="C1825"/>
  <c r="B1825"/>
  <c r="M1824"/>
  <c r="L1824"/>
  <c r="H1824"/>
  <c r="G1824"/>
  <c r="F1824"/>
  <c r="E1824"/>
  <c r="D1824"/>
  <c r="C1824"/>
  <c r="B1824"/>
  <c r="M1823"/>
  <c r="H1823"/>
  <c r="G1823"/>
  <c r="F1823"/>
  <c r="E1823"/>
  <c r="D1823"/>
  <c r="C1823"/>
  <c r="B1823"/>
  <c r="M1822"/>
  <c r="H1822"/>
  <c r="G1822"/>
  <c r="F1822"/>
  <c r="E1822"/>
  <c r="D1822"/>
  <c r="C1822"/>
  <c r="B1822"/>
  <c r="M1821"/>
  <c r="H1821"/>
  <c r="G1821"/>
  <c r="F1821"/>
  <c r="E1821"/>
  <c r="D1821"/>
  <c r="C1821"/>
  <c r="B1821"/>
  <c r="M1820"/>
  <c r="H1820"/>
  <c r="G1820"/>
  <c r="F1820"/>
  <c r="E1820"/>
  <c r="D1820"/>
  <c r="C1820"/>
  <c r="B1820"/>
  <c r="M1819"/>
  <c r="L1819"/>
  <c r="H1819"/>
  <c r="G1819"/>
  <c r="F1819"/>
  <c r="E1819"/>
  <c r="D1819"/>
  <c r="C1819"/>
  <c r="B1819"/>
  <c r="M1818"/>
  <c r="L1818"/>
  <c r="H1818"/>
  <c r="G1818"/>
  <c r="F1818"/>
  <c r="E1818"/>
  <c r="D1818"/>
  <c r="C1818"/>
  <c r="B1818"/>
  <c r="M1801"/>
  <c r="L1801"/>
  <c r="H1801"/>
  <c r="G1801"/>
  <c r="F1801"/>
  <c r="E1801"/>
  <c r="D1801"/>
  <c r="C1801"/>
  <c r="B1801"/>
  <c r="M1800"/>
  <c r="L1800"/>
  <c r="H1800"/>
  <c r="G1800"/>
  <c r="F1800"/>
  <c r="E1800"/>
  <c r="D1800"/>
  <c r="C1800"/>
  <c r="B1800"/>
  <c r="M1799"/>
  <c r="L1799"/>
  <c r="H1799"/>
  <c r="G1799"/>
  <c r="F1799"/>
  <c r="E1799"/>
  <c r="D1799"/>
  <c r="C1799"/>
  <c r="B1799"/>
  <c r="M1798"/>
  <c r="L1798"/>
  <c r="H1798"/>
  <c r="G1798"/>
  <c r="F1798"/>
  <c r="E1798"/>
  <c r="D1798"/>
  <c r="C1798"/>
  <c r="B1798"/>
  <c r="M1797"/>
  <c r="L1797"/>
  <c r="H1797"/>
  <c r="G1797"/>
  <c r="F1797"/>
  <c r="E1797"/>
  <c r="D1797"/>
  <c r="C1797"/>
  <c r="B1797"/>
  <c r="N1796"/>
  <c r="M1796"/>
  <c r="L1796"/>
  <c r="H1796"/>
  <c r="G1796"/>
  <c r="F1796"/>
  <c r="E1796"/>
  <c r="D1796"/>
  <c r="C1796"/>
  <c r="B1796"/>
  <c r="M1795"/>
  <c r="L1795"/>
  <c r="H1795"/>
  <c r="G1795"/>
  <c r="F1795"/>
  <c r="E1795"/>
  <c r="D1795"/>
  <c r="C1795"/>
  <c r="B1795"/>
  <c r="M1794"/>
  <c r="L1794"/>
  <c r="H1794"/>
  <c r="G1794"/>
  <c r="F1794"/>
  <c r="E1794"/>
  <c r="D1794"/>
  <c r="C1794"/>
  <c r="B1794"/>
  <c r="M1793"/>
  <c r="L1793"/>
  <c r="H1793"/>
  <c r="G1793"/>
  <c r="F1793"/>
  <c r="E1793"/>
  <c r="D1793"/>
  <c r="C1793"/>
  <c r="B1793"/>
  <c r="M1792"/>
  <c r="L1792"/>
  <c r="H1792"/>
  <c r="G1792"/>
  <c r="F1792"/>
  <c r="E1792"/>
  <c r="D1792"/>
  <c r="C1792"/>
  <c r="B1792"/>
  <c r="M1791"/>
  <c r="L1791"/>
  <c r="H1791"/>
  <c r="G1791"/>
  <c r="F1791"/>
  <c r="E1791"/>
  <c r="D1791"/>
  <c r="C1791"/>
  <c r="B1791"/>
  <c r="M1790"/>
  <c r="L1790"/>
  <c r="H1790"/>
  <c r="G1790"/>
  <c r="F1790"/>
  <c r="E1790"/>
  <c r="D1790"/>
  <c r="C1790"/>
  <c r="B1790"/>
  <c r="M1789"/>
  <c r="L1789"/>
  <c r="H1789"/>
  <c r="G1789"/>
  <c r="F1789"/>
  <c r="E1789"/>
  <c r="D1789"/>
  <c r="C1789"/>
  <c r="B1789"/>
  <c r="M1788"/>
  <c r="L1788"/>
  <c r="H1788"/>
  <c r="G1788"/>
  <c r="F1788"/>
  <c r="E1788"/>
  <c r="D1788"/>
  <c r="C1788"/>
  <c r="B1788"/>
  <c r="M1787"/>
  <c r="L1787"/>
  <c r="H1787"/>
  <c r="G1787"/>
  <c r="F1787"/>
  <c r="E1787"/>
  <c r="D1787"/>
  <c r="C1787"/>
  <c r="B1787"/>
  <c r="M1786"/>
  <c r="L1786"/>
  <c r="H1786"/>
  <c r="G1786"/>
  <c r="F1786"/>
  <c r="E1786"/>
  <c r="D1786"/>
  <c r="C1786"/>
  <c r="B1786"/>
  <c r="M1785"/>
  <c r="L1785"/>
  <c r="H1785"/>
  <c r="G1785"/>
  <c r="F1785"/>
  <c r="E1785"/>
  <c r="D1785"/>
  <c r="C1785"/>
  <c r="B1785"/>
  <c r="M1784"/>
  <c r="L1784"/>
  <c r="H1784"/>
  <c r="G1784"/>
  <c r="F1784"/>
  <c r="E1784"/>
  <c r="D1784"/>
  <c r="C1784"/>
  <c r="B1784"/>
  <c r="M1772"/>
  <c r="H1772"/>
  <c r="G1772"/>
  <c r="F1772"/>
  <c r="E1772"/>
  <c r="D1772"/>
  <c r="C1772"/>
  <c r="B1772"/>
  <c r="M1771"/>
  <c r="H1771"/>
  <c r="G1771"/>
  <c r="F1771"/>
  <c r="E1771"/>
  <c r="D1771"/>
  <c r="C1771"/>
  <c r="B1771"/>
  <c r="M1770"/>
  <c r="L1770"/>
  <c r="H1770"/>
  <c r="G1770"/>
  <c r="F1770"/>
  <c r="E1770"/>
  <c r="D1770"/>
  <c r="C1770"/>
  <c r="B1770"/>
  <c r="M1769"/>
  <c r="L1769"/>
  <c r="J1769"/>
  <c r="H1769"/>
  <c r="G1769"/>
  <c r="F1769"/>
  <c r="E1769"/>
  <c r="D1769"/>
  <c r="C1769"/>
  <c r="B1769"/>
  <c r="M1768"/>
  <c r="L1768"/>
  <c r="H1768"/>
  <c r="G1768"/>
  <c r="F1768"/>
  <c r="E1768"/>
  <c r="D1768"/>
  <c r="C1768"/>
  <c r="B1768"/>
  <c r="M1767"/>
  <c r="L1767"/>
  <c r="H1767"/>
  <c r="G1767"/>
  <c r="F1767"/>
  <c r="E1767"/>
  <c r="D1767"/>
  <c r="C1767"/>
  <c r="B1767"/>
  <c r="M1766"/>
  <c r="L1766"/>
  <c r="H1766"/>
  <c r="G1766"/>
  <c r="F1766"/>
  <c r="E1766"/>
  <c r="D1766"/>
  <c r="C1766"/>
  <c r="B1766"/>
  <c r="M1765"/>
  <c r="L1765"/>
  <c r="H1765"/>
  <c r="G1765"/>
  <c r="F1765"/>
  <c r="E1765"/>
  <c r="D1765"/>
  <c r="C1765"/>
  <c r="B1765"/>
  <c r="M1764"/>
  <c r="L1764"/>
  <c r="H1764"/>
  <c r="G1764"/>
  <c r="F1764"/>
  <c r="E1764"/>
  <c r="D1764"/>
  <c r="C1764"/>
  <c r="B1764"/>
  <c r="H1763"/>
  <c r="G1763"/>
  <c r="F1763"/>
  <c r="E1763"/>
  <c r="D1763"/>
  <c r="C1763"/>
  <c r="B1763"/>
  <c r="H1762"/>
  <c r="G1762"/>
  <c r="F1762"/>
  <c r="E1762"/>
  <c r="D1762"/>
  <c r="C1762"/>
  <c r="B1762"/>
  <c r="H1761"/>
  <c r="G1761"/>
  <c r="F1761"/>
  <c r="E1761"/>
  <c r="D1761"/>
  <c r="C1761"/>
  <c r="B1761"/>
  <c r="M1760"/>
  <c r="L1760"/>
  <c r="H1760"/>
  <c r="G1760"/>
  <c r="F1760"/>
  <c r="E1760"/>
  <c r="D1760"/>
  <c r="C1760"/>
  <c r="B1760"/>
  <c r="N1759"/>
  <c r="M1759"/>
  <c r="L1759"/>
  <c r="H1759"/>
  <c r="G1759"/>
  <c r="F1759"/>
  <c r="E1759"/>
  <c r="D1759"/>
  <c r="C1759"/>
  <c r="B1759"/>
  <c r="M1758"/>
  <c r="L1758"/>
  <c r="H1758"/>
  <c r="G1758"/>
  <c r="F1758"/>
  <c r="E1758"/>
  <c r="D1758"/>
  <c r="C1758"/>
  <c r="B1758"/>
  <c r="M1757"/>
  <c r="L1757"/>
  <c r="H1757"/>
  <c r="G1757"/>
  <c r="F1757"/>
  <c r="E1757"/>
  <c r="D1757"/>
  <c r="C1757"/>
  <c r="B1757"/>
  <c r="M1756"/>
  <c r="L1756"/>
  <c r="H1756"/>
  <c r="G1756"/>
  <c r="F1756"/>
  <c r="E1756"/>
  <c r="D1756"/>
  <c r="C1756"/>
  <c r="B1756"/>
  <c r="M1755"/>
  <c r="L1755"/>
  <c r="H1755"/>
  <c r="G1755"/>
  <c r="F1755"/>
  <c r="E1755"/>
  <c r="D1755"/>
  <c r="C1755"/>
  <c r="B1755"/>
  <c r="M1754"/>
  <c r="L1754"/>
  <c r="H1754"/>
  <c r="G1754"/>
  <c r="F1754"/>
  <c r="E1754"/>
  <c r="D1754"/>
  <c r="C1754"/>
  <c r="B1754"/>
  <c r="M1753"/>
  <c r="L1753"/>
  <c r="H1753"/>
  <c r="G1753"/>
  <c r="F1753"/>
  <c r="E1753"/>
  <c r="D1753"/>
  <c r="C1753"/>
  <c r="B1753"/>
  <c r="H1752"/>
  <c r="G1752"/>
  <c r="F1752"/>
  <c r="E1752"/>
  <c r="D1752"/>
  <c r="C1752"/>
  <c r="B1752"/>
  <c r="M1751"/>
  <c r="L1751"/>
  <c r="H1751"/>
  <c r="G1751"/>
  <c r="F1751"/>
  <c r="E1751"/>
  <c r="D1751"/>
  <c r="C1751"/>
  <c r="B1751"/>
  <c r="M1750"/>
  <c r="L1750"/>
  <c r="H1750"/>
  <c r="G1750"/>
  <c r="F1750"/>
  <c r="E1750"/>
  <c r="D1750"/>
  <c r="C1750"/>
  <c r="B1750"/>
  <c r="M1749"/>
  <c r="L1749"/>
  <c r="H1749"/>
  <c r="G1749"/>
  <c r="F1749"/>
  <c r="E1749"/>
  <c r="D1749"/>
  <c r="C1749"/>
  <c r="B1749"/>
  <c r="M1748"/>
  <c r="L1748"/>
  <c r="H1748"/>
  <c r="G1748"/>
  <c r="F1748"/>
  <c r="E1748"/>
  <c r="D1748"/>
  <c r="C1748"/>
  <c r="B1748"/>
  <c r="M1747"/>
  <c r="L1747"/>
  <c r="H1747"/>
  <c r="G1747"/>
  <c r="F1747"/>
  <c r="E1747"/>
  <c r="D1747"/>
  <c r="C1747"/>
  <c r="B1747"/>
  <c r="M1746"/>
  <c r="L1746"/>
  <c r="H1746"/>
  <c r="G1746"/>
  <c r="F1746"/>
  <c r="E1746"/>
  <c r="D1746"/>
  <c r="C1746"/>
  <c r="B1746"/>
  <c r="M1745"/>
  <c r="L1745"/>
  <c r="H1745"/>
  <c r="G1745"/>
  <c r="F1745"/>
  <c r="E1745"/>
  <c r="D1745"/>
  <c r="C1745"/>
  <c r="B1745"/>
  <c r="M1731"/>
  <c r="L1731"/>
  <c r="H1731"/>
  <c r="G1731"/>
  <c r="F1731"/>
  <c r="E1731"/>
  <c r="D1731"/>
  <c r="C1731"/>
  <c r="B1731"/>
  <c r="M1730"/>
  <c r="L1730"/>
  <c r="H1730"/>
  <c r="G1730"/>
  <c r="F1730"/>
  <c r="E1730"/>
  <c r="D1730"/>
  <c r="C1730"/>
  <c r="B1730"/>
  <c r="M1729"/>
  <c r="L1729"/>
  <c r="H1729"/>
  <c r="G1729"/>
  <c r="F1729"/>
  <c r="E1729"/>
  <c r="D1729"/>
  <c r="C1729"/>
  <c r="B1729"/>
  <c r="M1728"/>
  <c r="L1728"/>
  <c r="H1728"/>
  <c r="G1728"/>
  <c r="F1728"/>
  <c r="E1728"/>
  <c r="D1728"/>
  <c r="C1728"/>
  <c r="B1728"/>
  <c r="M1727"/>
  <c r="L1727"/>
  <c r="H1727"/>
  <c r="G1727"/>
  <c r="F1727"/>
  <c r="E1727"/>
  <c r="D1727"/>
  <c r="C1727"/>
  <c r="B1727"/>
  <c r="M1726"/>
  <c r="L1726"/>
  <c r="H1726"/>
  <c r="G1726"/>
  <c r="F1726"/>
  <c r="E1726"/>
  <c r="D1726"/>
  <c r="C1726"/>
  <c r="B1726"/>
  <c r="M1725"/>
  <c r="L1725"/>
  <c r="H1725"/>
  <c r="G1725"/>
  <c r="F1725"/>
  <c r="E1725"/>
  <c r="D1725"/>
  <c r="C1725"/>
  <c r="B1725"/>
  <c r="H1724"/>
  <c r="G1724"/>
  <c r="F1724"/>
  <c r="E1724"/>
  <c r="D1724"/>
  <c r="C1724"/>
  <c r="B1724"/>
  <c r="M1723"/>
  <c r="L1723"/>
  <c r="H1723"/>
  <c r="G1723"/>
  <c r="F1723"/>
  <c r="E1723"/>
  <c r="D1723"/>
  <c r="C1723"/>
  <c r="B1723"/>
  <c r="M1722"/>
  <c r="L1722"/>
  <c r="H1722"/>
  <c r="G1722"/>
  <c r="F1722"/>
  <c r="E1722"/>
  <c r="D1722"/>
  <c r="C1722"/>
  <c r="B1722"/>
  <c r="M1721"/>
  <c r="L1721"/>
  <c r="H1721"/>
  <c r="G1721"/>
  <c r="F1721"/>
  <c r="E1721"/>
  <c r="D1721"/>
  <c r="C1721"/>
  <c r="B1721"/>
  <c r="M1720"/>
  <c r="L1720"/>
  <c r="H1720"/>
  <c r="G1720"/>
  <c r="F1720"/>
  <c r="E1720"/>
  <c r="D1720"/>
  <c r="C1720"/>
  <c r="B1720"/>
  <c r="M1719"/>
  <c r="L1719"/>
  <c r="H1719"/>
  <c r="G1719"/>
  <c r="F1719"/>
  <c r="E1719"/>
  <c r="D1719"/>
  <c r="C1719"/>
  <c r="B1719"/>
  <c r="M1718"/>
  <c r="L1718"/>
  <c r="H1718"/>
  <c r="G1718"/>
  <c r="F1718"/>
  <c r="E1718"/>
  <c r="D1718"/>
  <c r="C1718"/>
  <c r="B1718"/>
  <c r="M1717"/>
  <c r="L1717"/>
  <c r="H1717"/>
  <c r="G1717"/>
  <c r="F1717"/>
  <c r="E1717"/>
  <c r="D1717"/>
  <c r="C1717"/>
  <c r="B1717"/>
  <c r="M1716"/>
  <c r="H1716"/>
  <c r="G1716"/>
  <c r="F1716"/>
  <c r="E1716"/>
  <c r="D1716"/>
  <c r="C1716"/>
  <c r="B1716"/>
  <c r="M1715"/>
  <c r="L1715"/>
  <c r="H1715"/>
  <c r="G1715"/>
  <c r="F1715"/>
  <c r="E1715"/>
  <c r="D1715"/>
  <c r="C1715"/>
  <c r="B1715"/>
  <c r="M1714"/>
  <c r="L1714"/>
  <c r="H1714"/>
  <c r="G1714"/>
  <c r="F1714"/>
  <c r="E1714"/>
  <c r="D1714"/>
  <c r="C1714"/>
  <c r="B1714"/>
  <c r="M1713"/>
  <c r="L1713"/>
  <c r="H1713"/>
  <c r="G1713"/>
  <c r="F1713"/>
  <c r="E1713"/>
  <c r="D1713"/>
  <c r="C1713"/>
  <c r="B1713"/>
  <c r="M1712"/>
  <c r="L1712"/>
  <c r="H1712"/>
  <c r="G1712"/>
  <c r="F1712"/>
  <c r="E1712"/>
  <c r="D1712"/>
  <c r="C1712"/>
  <c r="B1712"/>
  <c r="M1711"/>
  <c r="L1711"/>
  <c r="H1711"/>
  <c r="G1711"/>
  <c r="F1711"/>
  <c r="E1711"/>
  <c r="D1711"/>
  <c r="C1711"/>
  <c r="B1711"/>
  <c r="M1710"/>
  <c r="L1710"/>
  <c r="H1710"/>
  <c r="G1710"/>
  <c r="F1710"/>
  <c r="E1710"/>
  <c r="D1710"/>
  <c r="C1710"/>
  <c r="B1710"/>
  <c r="M1709"/>
  <c r="L1709"/>
  <c r="H1709"/>
  <c r="G1709"/>
  <c r="F1709"/>
  <c r="E1709"/>
  <c r="D1709"/>
  <c r="C1709"/>
  <c r="B1709"/>
  <c r="H1708"/>
  <c r="G1708"/>
  <c r="F1708"/>
  <c r="E1708"/>
  <c r="D1708"/>
  <c r="C1708"/>
  <c r="B1708"/>
  <c r="M1707"/>
  <c r="L1707"/>
  <c r="H1707"/>
  <c r="G1707"/>
  <c r="F1707"/>
  <c r="E1707"/>
  <c r="D1707"/>
  <c r="C1707"/>
  <c r="B1707"/>
  <c r="M1706"/>
  <c r="L1706"/>
  <c r="H1706"/>
  <c r="G1706"/>
  <c r="F1706"/>
  <c r="E1706"/>
  <c r="D1706"/>
  <c r="C1706"/>
  <c r="B1706"/>
  <c r="M1705"/>
  <c r="L1705"/>
  <c r="H1705"/>
  <c r="G1705"/>
  <c r="F1705"/>
  <c r="E1705"/>
  <c r="D1705"/>
  <c r="C1705"/>
  <c r="B1705"/>
  <c r="M1704"/>
  <c r="L1704"/>
  <c r="H1704"/>
  <c r="G1704"/>
  <c r="F1704"/>
  <c r="E1704"/>
  <c r="D1704"/>
  <c r="C1704"/>
  <c r="B1704"/>
  <c r="M1703"/>
  <c r="H1703"/>
  <c r="G1703"/>
  <c r="F1703"/>
  <c r="E1703"/>
  <c r="D1703"/>
  <c r="C1703"/>
  <c r="B1703"/>
  <c r="M1702"/>
  <c r="L1702"/>
  <c r="H1702"/>
  <c r="G1702"/>
  <c r="F1702"/>
  <c r="E1702"/>
  <c r="D1702"/>
  <c r="C1702"/>
  <c r="B1702"/>
  <c r="N1688"/>
  <c r="I1688"/>
  <c r="I2262" s="1"/>
  <c r="M1687"/>
  <c r="L1687"/>
  <c r="N1686"/>
  <c r="I1686"/>
  <c r="N1685"/>
  <c r="N1684" s="1"/>
  <c r="I1685"/>
  <c r="M1684"/>
  <c r="L1684"/>
  <c r="N1683"/>
  <c r="N2101" s="1"/>
  <c r="I1683"/>
  <c r="I2101" s="1"/>
  <c r="M1682"/>
  <c r="L1682"/>
  <c r="N1681"/>
  <c r="I1681"/>
  <c r="I2031" s="1"/>
  <c r="M1680"/>
  <c r="L1680"/>
  <c r="N1680" s="1"/>
  <c r="N1679"/>
  <c r="N1940" s="1"/>
  <c r="I1679"/>
  <c r="I1678" s="1"/>
  <c r="M1678"/>
  <c r="L1678"/>
  <c r="L1677" s="1"/>
  <c r="N1676"/>
  <c r="N2261" s="1"/>
  <c r="I1676"/>
  <c r="I2261" s="1"/>
  <c r="N1675"/>
  <c r="N2260" s="1"/>
  <c r="I1675"/>
  <c r="I2260" s="1"/>
  <c r="M1674"/>
  <c r="L1674"/>
  <c r="N1673"/>
  <c r="I1673"/>
  <c r="N1672"/>
  <c r="I1672"/>
  <c r="N1671"/>
  <c r="I1671"/>
  <c r="M1670"/>
  <c r="L1670"/>
  <c r="N1669"/>
  <c r="N2100" s="1"/>
  <c r="I1669"/>
  <c r="I2100" s="1"/>
  <c r="M1668"/>
  <c r="L1668"/>
  <c r="N1667"/>
  <c r="I1667"/>
  <c r="I2030" s="1"/>
  <c r="N1666"/>
  <c r="N2029" s="1"/>
  <c r="I1666"/>
  <c r="I2029" s="1"/>
  <c r="M1665"/>
  <c r="L1665"/>
  <c r="N1664"/>
  <c r="N1939" s="1"/>
  <c r="I1664"/>
  <c r="I1939" s="1"/>
  <c r="M1663"/>
  <c r="L1663"/>
  <c r="N1662"/>
  <c r="I1662"/>
  <c r="I1661" s="1"/>
  <c r="M1661"/>
  <c r="L1661"/>
  <c r="Q1659"/>
  <c r="Q1658"/>
  <c r="Q1657"/>
  <c r="Q1656"/>
  <c r="Q1655"/>
  <c r="Q1654"/>
  <c r="Q1653"/>
  <c r="Q1652"/>
  <c r="Q1651"/>
  <c r="Q1650"/>
  <c r="Q1649"/>
  <c r="Q1648"/>
  <c r="Q1647"/>
  <c r="Q1646"/>
  <c r="Q1645"/>
  <c r="Q1644"/>
  <c r="Q1643"/>
  <c r="N1642"/>
  <c r="I1642"/>
  <c r="I2259" s="1"/>
  <c r="M1641"/>
  <c r="L1641"/>
  <c r="I1641"/>
  <c r="N1640"/>
  <c r="I1640"/>
  <c r="N1639"/>
  <c r="I1639"/>
  <c r="M1638"/>
  <c r="L1638"/>
  <c r="N1637"/>
  <c r="I1637"/>
  <c r="I2028" s="1"/>
  <c r="N1636"/>
  <c r="N2027" s="1"/>
  <c r="I1636"/>
  <c r="I2027" s="1"/>
  <c r="M1635"/>
  <c r="L1635"/>
  <c r="N1634"/>
  <c r="N1938" s="1"/>
  <c r="I1634"/>
  <c r="I1938" s="1"/>
  <c r="Q1633"/>
  <c r="L1633"/>
  <c r="N1633" s="1"/>
  <c r="N1631"/>
  <c r="I1631"/>
  <c r="I2258" s="1"/>
  <c r="N1630"/>
  <c r="N2256" s="1"/>
  <c r="I1630"/>
  <c r="I2257" s="1"/>
  <c r="M1629"/>
  <c r="L1629"/>
  <c r="N1629" s="1"/>
  <c r="N1628"/>
  <c r="I1628"/>
  <c r="N1627"/>
  <c r="I1627"/>
  <c r="N1626"/>
  <c r="I1626"/>
  <c r="M1625"/>
  <c r="L1625"/>
  <c r="N1624"/>
  <c r="N2099" s="1"/>
  <c r="I1624"/>
  <c r="I2099" s="1"/>
  <c r="M1623"/>
  <c r="L1623"/>
  <c r="N1622"/>
  <c r="I1622"/>
  <c r="I2026" s="1"/>
  <c r="M1621"/>
  <c r="L1621"/>
  <c r="N1620"/>
  <c r="N1937" s="1"/>
  <c r="I1620"/>
  <c r="I1937" s="1"/>
  <c r="N1619"/>
  <c r="N1936" s="1"/>
  <c r="I1619"/>
  <c r="I1936" s="1"/>
  <c r="Q1618"/>
  <c r="L1618"/>
  <c r="N1618" s="1"/>
  <c r="N1617"/>
  <c r="N1873" s="1"/>
  <c r="I1617"/>
  <c r="I1873" s="1"/>
  <c r="N1616"/>
  <c r="N1872" s="1"/>
  <c r="I1616"/>
  <c r="I1872" s="1"/>
  <c r="M1615"/>
  <c r="M1614" s="1"/>
  <c r="L1615"/>
  <c r="Q1613"/>
  <c r="Q1612"/>
  <c r="Q1611"/>
  <c r="Q1610"/>
  <c r="Q1609"/>
  <c r="Q1608"/>
  <c r="Q1607"/>
  <c r="Q1606"/>
  <c r="Q1605"/>
  <c r="Q1604"/>
  <c r="Q1603"/>
  <c r="Q1602"/>
  <c r="Q1601"/>
  <c r="Q1600"/>
  <c r="N1599"/>
  <c r="I1599"/>
  <c r="I2256" s="1"/>
  <c r="N1598"/>
  <c r="N2255" s="1"/>
  <c r="I1598"/>
  <c r="I2255" s="1"/>
  <c r="M1597"/>
  <c r="L1597"/>
  <c r="N1597" s="1"/>
  <c r="N1596"/>
  <c r="I1596"/>
  <c r="N1595"/>
  <c r="I1595"/>
  <c r="M1594"/>
  <c r="L1594"/>
  <c r="N1593"/>
  <c r="I1593"/>
  <c r="N1592"/>
  <c r="N2024" s="1"/>
  <c r="I1592"/>
  <c r="I2024" s="1"/>
  <c r="M1591"/>
  <c r="L1591"/>
  <c r="N1590"/>
  <c r="N1935" s="1"/>
  <c r="I1590"/>
  <c r="I1935" s="1"/>
  <c r="M1589"/>
  <c r="L1589"/>
  <c r="N1587"/>
  <c r="I1587"/>
  <c r="I2254" s="1"/>
  <c r="M1586"/>
  <c r="L1586"/>
  <c r="N1586" s="1"/>
  <c r="N1585"/>
  <c r="I1585"/>
  <c r="N1584"/>
  <c r="I1584"/>
  <c r="M1583"/>
  <c r="L1583"/>
  <c r="N1582"/>
  <c r="I1582"/>
  <c r="I2098" s="1"/>
  <c r="M1581"/>
  <c r="L1581"/>
  <c r="N1581" s="1"/>
  <c r="N1580"/>
  <c r="I1580"/>
  <c r="I2023" s="1"/>
  <c r="N1579"/>
  <c r="N2022" s="1"/>
  <c r="I1579"/>
  <c r="I2022" s="1"/>
  <c r="M1578"/>
  <c r="L1578"/>
  <c r="N1578" s="1"/>
  <c r="N1577"/>
  <c r="N1934" s="1"/>
  <c r="I1577"/>
  <c r="I1934" s="1"/>
  <c r="Q1576"/>
  <c r="N1576"/>
  <c r="L1576"/>
  <c r="N1575"/>
  <c r="I1575"/>
  <c r="I1871" s="1"/>
  <c r="N1574"/>
  <c r="N1870" s="1"/>
  <c r="I1574"/>
  <c r="I1870" s="1"/>
  <c r="N1573"/>
  <c r="N1869" s="1"/>
  <c r="I1573"/>
  <c r="I1869" s="1"/>
  <c r="M1572"/>
  <c r="L1572"/>
  <c r="Q1570"/>
  <c r="Q1569"/>
  <c r="Q1568"/>
  <c r="Q1567"/>
  <c r="Q1566"/>
  <c r="Q1565"/>
  <c r="Q1564"/>
  <c r="Q1563"/>
  <c r="Q1562"/>
  <c r="Q1561"/>
  <c r="Q1560"/>
  <c r="Q1559"/>
  <c r="N1558"/>
  <c r="I1558"/>
  <c r="I2253" s="1"/>
  <c r="N1557"/>
  <c r="N2252" s="1"/>
  <c r="I1557"/>
  <c r="I2252" s="1"/>
  <c r="M1556"/>
  <c r="L1556"/>
  <c r="N1555"/>
  <c r="I1555"/>
  <c r="N1554"/>
  <c r="I1554"/>
  <c r="N1553"/>
  <c r="I1553"/>
  <c r="N1552"/>
  <c r="M1552"/>
  <c r="L1552"/>
  <c r="N1551"/>
  <c r="N2097" s="1"/>
  <c r="I1551"/>
  <c r="I2097" s="1"/>
  <c r="M1550"/>
  <c r="L1550"/>
  <c r="N1549"/>
  <c r="I1549"/>
  <c r="I2021" s="1"/>
  <c r="N1548"/>
  <c r="N2020" s="1"/>
  <c r="I1548"/>
  <c r="I2020" s="1"/>
  <c r="M1547"/>
  <c r="L1547"/>
  <c r="N1546"/>
  <c r="N1933" s="1"/>
  <c r="I1546"/>
  <c r="I1933" s="1"/>
  <c r="M1545"/>
  <c r="L1545"/>
  <c r="N1544"/>
  <c r="I1544"/>
  <c r="I1868" s="1"/>
  <c r="M1543"/>
  <c r="L1543"/>
  <c r="Q1541"/>
  <c r="Q1540"/>
  <c r="Q1539"/>
  <c r="Q1538"/>
  <c r="Q1537"/>
  <c r="Q1536"/>
  <c r="Q1535"/>
  <c r="Q1534"/>
  <c r="Q1533"/>
  <c r="Q1532"/>
  <c r="Q1531"/>
  <c r="Q1530"/>
  <c r="Q1529"/>
  <c r="Q1528"/>
  <c r="Q1527"/>
  <c r="N1526"/>
  <c r="I1526"/>
  <c r="I2251" s="1"/>
  <c r="N1525"/>
  <c r="N2250" s="1"/>
  <c r="I1525"/>
  <c r="I2250" s="1"/>
  <c r="M1524"/>
  <c r="L1524"/>
  <c r="N1524" s="1"/>
  <c r="N1523"/>
  <c r="I1523"/>
  <c r="N1522"/>
  <c r="I1522"/>
  <c r="N1521"/>
  <c r="I1521"/>
  <c r="M1520"/>
  <c r="L1520"/>
  <c r="N1519"/>
  <c r="I1519"/>
  <c r="I2096" s="1"/>
  <c r="M1518"/>
  <c r="L1518"/>
  <c r="N1517"/>
  <c r="I1517"/>
  <c r="I2019" s="1"/>
  <c r="N1516"/>
  <c r="N2018" s="1"/>
  <c r="I1516"/>
  <c r="I2018" s="1"/>
  <c r="M1515"/>
  <c r="L1515"/>
  <c r="N1514"/>
  <c r="N1932" s="1"/>
  <c r="I1514"/>
  <c r="I1932" s="1"/>
  <c r="M1513"/>
  <c r="L1513"/>
  <c r="N1512"/>
  <c r="I1512"/>
  <c r="I1867" s="1"/>
  <c r="N1511"/>
  <c r="N1866" s="1"/>
  <c r="I1511"/>
  <c r="I1866" s="1"/>
  <c r="M1510"/>
  <c r="L1510"/>
  <c r="N1508"/>
  <c r="I1508"/>
  <c r="I2249" s="1"/>
  <c r="N1507"/>
  <c r="N2248" s="1"/>
  <c r="I1507"/>
  <c r="I2248" s="1"/>
  <c r="M1506"/>
  <c r="L1506"/>
  <c r="N1505"/>
  <c r="I1505"/>
  <c r="N1504"/>
  <c r="I1504"/>
  <c r="M1503"/>
  <c r="L1503"/>
  <c r="N1502"/>
  <c r="I1502"/>
  <c r="I2095" s="1"/>
  <c r="L1501"/>
  <c r="N1501" s="1"/>
  <c r="N1500"/>
  <c r="I1500"/>
  <c r="I2017" s="1"/>
  <c r="N1499"/>
  <c r="N2017" s="1"/>
  <c r="I1499"/>
  <c r="I2016" s="1"/>
  <c r="M1498"/>
  <c r="L1498"/>
  <c r="N1497"/>
  <c r="N1931" s="1"/>
  <c r="I1497"/>
  <c r="I1931" s="1"/>
  <c r="M1496"/>
  <c r="L1496"/>
  <c r="Q1494"/>
  <c r="Q1493"/>
  <c r="Q1492"/>
  <c r="Q1491"/>
  <c r="Q1490"/>
  <c r="Q1489"/>
  <c r="Q1488"/>
  <c r="Q1487"/>
  <c r="Q1486"/>
  <c r="Q1485"/>
  <c r="Q1484"/>
  <c r="Q1483"/>
  <c r="Q1482"/>
  <c r="N1481"/>
  <c r="I1481"/>
  <c r="I2247" s="1"/>
  <c r="N1480"/>
  <c r="N2246" s="1"/>
  <c r="I1480"/>
  <c r="I2246" s="1"/>
  <c r="M1479"/>
  <c r="L1479"/>
  <c r="N1478"/>
  <c r="I1478"/>
  <c r="N1477"/>
  <c r="I1477"/>
  <c r="N1476"/>
  <c r="N1475" s="1"/>
  <c r="I1476"/>
  <c r="M1475"/>
  <c r="L1475"/>
  <c r="N1474"/>
  <c r="N1473" s="1"/>
  <c r="I1474"/>
  <c r="I2094" s="1"/>
  <c r="Q1473"/>
  <c r="L1473"/>
  <c r="N1472"/>
  <c r="I1472"/>
  <c r="I2015" s="1"/>
  <c r="N1471"/>
  <c r="N1470" s="1"/>
  <c r="I1471"/>
  <c r="I2014" s="1"/>
  <c r="M1470"/>
  <c r="L1470"/>
  <c r="N1469"/>
  <c r="N1930" s="1"/>
  <c r="I1469"/>
  <c r="I1930" s="1"/>
  <c r="Q1468"/>
  <c r="L1468"/>
  <c r="N1468" s="1"/>
  <c r="N1467"/>
  <c r="N1865" s="1"/>
  <c r="I1467"/>
  <c r="I1865" s="1"/>
  <c r="N1466"/>
  <c r="N1864" s="1"/>
  <c r="I1466"/>
  <c r="I1864" s="1"/>
  <c r="N1465"/>
  <c r="N1863" s="1"/>
  <c r="I1465"/>
  <c r="I1863" s="1"/>
  <c r="N1464"/>
  <c r="N1862" s="1"/>
  <c r="I1464"/>
  <c r="I1862" s="1"/>
  <c r="N1463"/>
  <c r="N1861" s="1"/>
  <c r="I1463"/>
  <c r="I1861" s="1"/>
  <c r="N1462"/>
  <c r="N1860" s="1"/>
  <c r="I1462"/>
  <c r="I1860" s="1"/>
  <c r="Q1461"/>
  <c r="L1461"/>
  <c r="M1460"/>
  <c r="Q1459"/>
  <c r="Q1458"/>
  <c r="Q1457"/>
  <c r="Q1456"/>
  <c r="Q1455"/>
  <c r="Q1454"/>
  <c r="Q1453"/>
  <c r="Q1452"/>
  <c r="Q1451"/>
  <c r="Q1450"/>
  <c r="Q1449"/>
  <c r="N1448"/>
  <c r="I1448"/>
  <c r="I2245" s="1"/>
  <c r="N1447"/>
  <c r="N2244" s="1"/>
  <c r="I1447"/>
  <c r="I2244" s="1"/>
  <c r="M1446"/>
  <c r="M268" s="1"/>
  <c r="J268" s="1"/>
  <c r="L1446"/>
  <c r="N1445"/>
  <c r="I1445"/>
  <c r="N1444"/>
  <c r="N1443" s="1"/>
  <c r="I1444"/>
  <c r="M1443"/>
  <c r="L1443"/>
  <c r="N1442"/>
  <c r="N2093" s="1"/>
  <c r="I1442"/>
  <c r="I2093" s="1"/>
  <c r="M1441"/>
  <c r="L1441"/>
  <c r="N1440"/>
  <c r="I1440"/>
  <c r="I2013" s="1"/>
  <c r="N1439"/>
  <c r="N2012" s="1"/>
  <c r="I1439"/>
  <c r="I2012" s="1"/>
  <c r="M1438"/>
  <c r="L1438"/>
  <c r="N1437"/>
  <c r="N1929" s="1"/>
  <c r="I1437"/>
  <c r="I1929" s="1"/>
  <c r="N1436"/>
  <c r="N1928" s="1"/>
  <c r="I1436"/>
  <c r="I1928" s="1"/>
  <c r="M1435"/>
  <c r="L1435"/>
  <c r="N1434"/>
  <c r="I1434"/>
  <c r="I1859" s="1"/>
  <c r="M1433"/>
  <c r="L1433"/>
  <c r="L1432" s="1"/>
  <c r="Q1431"/>
  <c r="Q1430"/>
  <c r="Q1429"/>
  <c r="Q1428"/>
  <c r="Q1427"/>
  <c r="Q1426"/>
  <c r="Q1425"/>
  <c r="Q1424"/>
  <c r="Q1423"/>
  <c r="Q1422"/>
  <c r="Q1421"/>
  <c r="Q1420"/>
  <c r="N1419"/>
  <c r="I1419"/>
  <c r="I2011" s="1"/>
  <c r="N1418"/>
  <c r="I1418"/>
  <c r="I2010" s="1"/>
  <c r="M1417"/>
  <c r="L1417"/>
  <c r="N1416"/>
  <c r="N1915" s="1"/>
  <c r="I1416"/>
  <c r="I1915" s="1"/>
  <c r="M1415"/>
  <c r="M1414" s="1"/>
  <c r="L1415"/>
  <c r="L1413"/>
  <c r="L2114" s="1"/>
  <c r="L2115" s="1"/>
  <c r="M1412"/>
  <c r="N1411"/>
  <c r="I1411"/>
  <c r="I2009" s="1"/>
  <c r="N1410"/>
  <c r="I1410"/>
  <c r="I2008" s="1"/>
  <c r="M1409"/>
  <c r="L1409"/>
  <c r="N1408"/>
  <c r="N1914" s="1"/>
  <c r="I1408"/>
  <c r="I1914" s="1"/>
  <c r="M1407"/>
  <c r="L1407"/>
  <c r="Q1405"/>
  <c r="Q1404"/>
  <c r="Q1403"/>
  <c r="Q1402"/>
  <c r="Q1401"/>
  <c r="Q1400"/>
  <c r="Q1399"/>
  <c r="Q1398"/>
  <c r="Q1397"/>
  <c r="Q1396"/>
  <c r="Q1395"/>
  <c r="N1394"/>
  <c r="I1394"/>
  <c r="M1393"/>
  <c r="L1393"/>
  <c r="N1392"/>
  <c r="I1392"/>
  <c r="N1391"/>
  <c r="N1390" s="1"/>
  <c r="I1391"/>
  <c r="M1390"/>
  <c r="L1390"/>
  <c r="N1389"/>
  <c r="N2092" s="1"/>
  <c r="I1389"/>
  <c r="I2092" s="1"/>
  <c r="Q1388"/>
  <c r="L1388"/>
  <c r="N1388" s="1"/>
  <c r="N1387"/>
  <c r="I1387"/>
  <c r="I2007" s="1"/>
  <c r="M1386"/>
  <c r="L1386"/>
  <c r="N1385"/>
  <c r="N1913" s="1"/>
  <c r="I1385"/>
  <c r="I1913" s="1"/>
  <c r="Q1384"/>
  <c r="L1384"/>
  <c r="N1384" s="1"/>
  <c r="N1382"/>
  <c r="N2242" s="1"/>
  <c r="I1382"/>
  <c r="M1381"/>
  <c r="L1381"/>
  <c r="N1380"/>
  <c r="N1379" s="1"/>
  <c r="I1380"/>
  <c r="M1379"/>
  <c r="L1379"/>
  <c r="N1378"/>
  <c r="N2004" s="1"/>
  <c r="I1378"/>
  <c r="M1377"/>
  <c r="L1377"/>
  <c r="N1376"/>
  <c r="N1912" s="1"/>
  <c r="I1376"/>
  <c r="M1375"/>
  <c r="L1375"/>
  <c r="N1374"/>
  <c r="I1374"/>
  <c r="M1373"/>
  <c r="L1373"/>
  <c r="Q1371"/>
  <c r="Q1370"/>
  <c r="Q1369"/>
  <c r="Q1368"/>
  <c r="Q1367"/>
  <c r="Q1366"/>
  <c r="Q1365"/>
  <c r="Q1364"/>
  <c r="Q1363"/>
  <c r="Q1362"/>
  <c r="Q1361"/>
  <c r="N1360"/>
  <c r="N2241" s="1"/>
  <c r="I1360"/>
  <c r="I2241" s="1"/>
  <c r="M1359"/>
  <c r="L1359"/>
  <c r="N1358"/>
  <c r="N1357" s="1"/>
  <c r="I1358"/>
  <c r="I1357" s="1"/>
  <c r="M1357"/>
  <c r="L1357"/>
  <c r="N1356"/>
  <c r="I1356"/>
  <c r="I2005" s="1"/>
  <c r="N1355"/>
  <c r="N2005" s="1"/>
  <c r="I1355"/>
  <c r="M1354"/>
  <c r="L1354"/>
  <c r="N1353"/>
  <c r="N1911" s="1"/>
  <c r="I1353"/>
  <c r="Q1352"/>
  <c r="L1352"/>
  <c r="N1352" s="1"/>
  <c r="M1351"/>
  <c r="N1350"/>
  <c r="I1350"/>
  <c r="I2240" s="1"/>
  <c r="M1349"/>
  <c r="L1349"/>
  <c r="N1349" s="1"/>
  <c r="N1348"/>
  <c r="I1348"/>
  <c r="N1347"/>
  <c r="N1346" s="1"/>
  <c r="I1347"/>
  <c r="M1346"/>
  <c r="L1346"/>
  <c r="N1345"/>
  <c r="N2003" s="1"/>
  <c r="I1345"/>
  <c r="I2003" s="1"/>
  <c r="M1344"/>
  <c r="I1344"/>
  <c r="N1343"/>
  <c r="N1910" s="1"/>
  <c r="I1343"/>
  <c r="I1910" s="1"/>
  <c r="M1342"/>
  <c r="M1341" s="1"/>
  <c r="L1342"/>
  <c r="I1342"/>
  <c r="N1340"/>
  <c r="I1340"/>
  <c r="I2239" s="1"/>
  <c r="M1339"/>
  <c r="L1339"/>
  <c r="N1338"/>
  <c r="I1338"/>
  <c r="N1337"/>
  <c r="N1336" s="1"/>
  <c r="I1337"/>
  <c r="M1336"/>
  <c r="L1336"/>
  <c r="N1335"/>
  <c r="N2091" s="1"/>
  <c r="I1335"/>
  <c r="I2091" s="1"/>
  <c r="M1334"/>
  <c r="L1334"/>
  <c r="N1334" s="1"/>
  <c r="N1333"/>
  <c r="I1333"/>
  <c r="I2002" s="1"/>
  <c r="M1332"/>
  <c r="L1332"/>
  <c r="N1332" s="1"/>
  <c r="N1331"/>
  <c r="N1909" s="1"/>
  <c r="I1331"/>
  <c r="I1909" s="1"/>
  <c r="M1330"/>
  <c r="L1330"/>
  <c r="N1329"/>
  <c r="I1329"/>
  <c r="I1857" s="1"/>
  <c r="M1328"/>
  <c r="L1328"/>
  <c r="Q1326"/>
  <c r="Q1325"/>
  <c r="Q1324"/>
  <c r="Q1323"/>
  <c r="Q1322"/>
  <c r="Q1321"/>
  <c r="Q1320"/>
  <c r="Q1319"/>
  <c r="Q1318"/>
  <c r="Q1317"/>
  <c r="N1316"/>
  <c r="I1316"/>
  <c r="N1315"/>
  <c r="N2237" s="1"/>
  <c r="I1315"/>
  <c r="I2237" s="1"/>
  <c r="M1314"/>
  <c r="L1314"/>
  <c r="N1313"/>
  <c r="I1313"/>
  <c r="N1312"/>
  <c r="I1312"/>
  <c r="M1311"/>
  <c r="L1311"/>
  <c r="N1310"/>
  <c r="I1310"/>
  <c r="I2001" s="1"/>
  <c r="N1309"/>
  <c r="N1998" s="1"/>
  <c r="I1309"/>
  <c r="I2000" s="1"/>
  <c r="M1308"/>
  <c r="L1308"/>
  <c r="N1307"/>
  <c r="N1908" s="1"/>
  <c r="I1307"/>
  <c r="I1908" s="1"/>
  <c r="M1306"/>
  <c r="L1306"/>
  <c r="I1304"/>
  <c r="I2236" s="1"/>
  <c r="N1303"/>
  <c r="N2238" s="1"/>
  <c r="I1303"/>
  <c r="I2235" s="1"/>
  <c r="M1302"/>
  <c r="L1302"/>
  <c r="N1301"/>
  <c r="I1301"/>
  <c r="N1300"/>
  <c r="I1300"/>
  <c r="I1299" s="1"/>
  <c r="M1299"/>
  <c r="L1299"/>
  <c r="N1298"/>
  <c r="N2090" s="1"/>
  <c r="I1298"/>
  <c r="I2090" s="1"/>
  <c r="M1297"/>
  <c r="M263" s="1"/>
  <c r="L1297"/>
  <c r="N1296"/>
  <c r="I1296"/>
  <c r="I1999" s="1"/>
  <c r="N1295"/>
  <c r="N2000" s="1"/>
  <c r="I1295"/>
  <c r="M1294"/>
  <c r="L1294"/>
  <c r="N1293"/>
  <c r="N1907" s="1"/>
  <c r="I1293"/>
  <c r="Q1292"/>
  <c r="L1292"/>
  <c r="N1292" s="1"/>
  <c r="Q1290"/>
  <c r="Q1289"/>
  <c r="Q1288"/>
  <c r="Q1287"/>
  <c r="Q1286"/>
  <c r="Q1285"/>
  <c r="Q1284"/>
  <c r="Q1283"/>
  <c r="Q1282"/>
  <c r="Q1281"/>
  <c r="Q1280"/>
  <c r="Q1279"/>
  <c r="L1278"/>
  <c r="M1277"/>
  <c r="M2304" s="1"/>
  <c r="N1276"/>
  <c r="I1276"/>
  <c r="I1997" s="1"/>
  <c r="N1275"/>
  <c r="I1275"/>
  <c r="M1274"/>
  <c r="L1274"/>
  <c r="N1273"/>
  <c r="I1273"/>
  <c r="M1272"/>
  <c r="L1272"/>
  <c r="P1271"/>
  <c r="N1271"/>
  <c r="N1906" s="1"/>
  <c r="I1271"/>
  <c r="I1906" s="1"/>
  <c r="M1270"/>
  <c r="L1270"/>
  <c r="N1268"/>
  <c r="I1268"/>
  <c r="N1267"/>
  <c r="N2233" s="1"/>
  <c r="I1267"/>
  <c r="I2233" s="1"/>
  <c r="M1266"/>
  <c r="L1266"/>
  <c r="N1265"/>
  <c r="I1265"/>
  <c r="N1264"/>
  <c r="I1264"/>
  <c r="N1263"/>
  <c r="I1263"/>
  <c r="M1262"/>
  <c r="L1262"/>
  <c r="N1261"/>
  <c r="N2089" s="1"/>
  <c r="I1261"/>
  <c r="I2089" s="1"/>
  <c r="M1260"/>
  <c r="L1260"/>
  <c r="N1259"/>
  <c r="I1259"/>
  <c r="I1982" s="1"/>
  <c r="N1258"/>
  <c r="N1981" s="1"/>
  <c r="I1258"/>
  <c r="M1257"/>
  <c r="L1257"/>
  <c r="N1257" s="1"/>
  <c r="N1256"/>
  <c r="N1905" s="1"/>
  <c r="I1256"/>
  <c r="M1255"/>
  <c r="L1255"/>
  <c r="N1254"/>
  <c r="I1254"/>
  <c r="M1253"/>
  <c r="L1253"/>
  <c r="Q1251"/>
  <c r="Q1250"/>
  <c r="Q1249"/>
  <c r="Q1248"/>
  <c r="Q1247"/>
  <c r="Q1246"/>
  <c r="Q1245"/>
  <c r="Q1244"/>
  <c r="Q1243"/>
  <c r="Q1242"/>
  <c r="Q1241"/>
  <c r="Q1240"/>
  <c r="N1239"/>
  <c r="I1239"/>
  <c r="L1238"/>
  <c r="L2231" s="1"/>
  <c r="M1237"/>
  <c r="N1236"/>
  <c r="I1236"/>
  <c r="N1235"/>
  <c r="I1235"/>
  <c r="N1234"/>
  <c r="I1234"/>
  <c r="M1233"/>
  <c r="L1233"/>
  <c r="N1232"/>
  <c r="N2088" s="1"/>
  <c r="I1232"/>
  <c r="M1231"/>
  <c r="L1231"/>
  <c r="N1231" s="1"/>
  <c r="N1230"/>
  <c r="I1230"/>
  <c r="M1229"/>
  <c r="L1229"/>
  <c r="N1229" s="1"/>
  <c r="N1228"/>
  <c r="N1904" s="1"/>
  <c r="I1228"/>
  <c r="R1227"/>
  <c r="N1227"/>
  <c r="N1903" s="1"/>
  <c r="I1227"/>
  <c r="I1903" s="1"/>
  <c r="N1226"/>
  <c r="N1902" s="1"/>
  <c r="I1226"/>
  <c r="I1902" s="1"/>
  <c r="N1225"/>
  <c r="N1901" s="1"/>
  <c r="I1225"/>
  <c r="N1224"/>
  <c r="N1900" s="1"/>
  <c r="I1224"/>
  <c r="I1900" s="1"/>
  <c r="N1223"/>
  <c r="N1899" s="1"/>
  <c r="I1223"/>
  <c r="I1899" s="1"/>
  <c r="M1222"/>
  <c r="L1222"/>
  <c r="N1221"/>
  <c r="I1221"/>
  <c r="I1844" s="1"/>
  <c r="L1220"/>
  <c r="L1843" s="1"/>
  <c r="M1219"/>
  <c r="Q1217"/>
  <c r="Q1216"/>
  <c r="Q1215"/>
  <c r="Q1214"/>
  <c r="Q1213"/>
  <c r="Q1212"/>
  <c r="Q1211"/>
  <c r="Q1210"/>
  <c r="Q1209"/>
  <c r="Q1208"/>
  <c r="Q1207"/>
  <c r="Q1206"/>
  <c r="Q1205"/>
  <c r="Q1204"/>
  <c r="N1203"/>
  <c r="N1202"/>
  <c r="N2331" s="1"/>
  <c r="N2332" s="1"/>
  <c r="M1201"/>
  <c r="M1198" s="1"/>
  <c r="L1201"/>
  <c r="L271" s="1"/>
  <c r="I1201"/>
  <c r="N1200"/>
  <c r="N2325" s="1"/>
  <c r="I1200"/>
  <c r="I2325" s="1"/>
  <c r="N1199"/>
  <c r="N2324" s="1"/>
  <c r="I1199"/>
  <c r="I2324" s="1"/>
  <c r="L1198"/>
  <c r="N1197"/>
  <c r="I1197"/>
  <c r="I2230" s="1"/>
  <c r="N1196"/>
  <c r="N2218" s="1"/>
  <c r="I1196"/>
  <c r="I2218" s="1"/>
  <c r="M1195"/>
  <c r="L1195"/>
  <c r="N1194"/>
  <c r="I1194"/>
  <c r="N1193"/>
  <c r="I1193"/>
  <c r="M1192"/>
  <c r="L1192"/>
  <c r="N1191"/>
  <c r="N2124" s="1"/>
  <c r="I1191"/>
  <c r="N1190"/>
  <c r="N2123" s="1"/>
  <c r="I1190"/>
  <c r="I2123" s="1"/>
  <c r="L1189"/>
  <c r="L1188"/>
  <c r="L2121" s="1"/>
  <c r="M1187"/>
  <c r="M2120" s="1"/>
  <c r="I1186"/>
  <c r="I1185"/>
  <c r="I1184"/>
  <c r="N1183"/>
  <c r="N1976" s="1"/>
  <c r="I1183"/>
  <c r="I1976" s="1"/>
  <c r="M1182"/>
  <c r="L1182"/>
  <c r="N1181"/>
  <c r="N1898" s="1"/>
  <c r="I1181"/>
  <c r="I1898" s="1"/>
  <c r="M1180"/>
  <c r="L1180"/>
  <c r="Q1178"/>
  <c r="Q1176"/>
  <c r="Q1175"/>
  <c r="Q1174"/>
  <c r="Q1173"/>
  <c r="Q1172"/>
  <c r="Q1171"/>
  <c r="Q1170"/>
  <c r="Q1169"/>
  <c r="Q1168"/>
  <c r="Q1167"/>
  <c r="Q1166"/>
  <c r="N1165"/>
  <c r="I1165"/>
  <c r="N1164"/>
  <c r="N2216" s="1"/>
  <c r="I1164"/>
  <c r="I2216" s="1"/>
  <c r="M1163"/>
  <c r="L1163"/>
  <c r="N1162"/>
  <c r="I1162"/>
  <c r="N1161"/>
  <c r="I1161"/>
  <c r="M1160"/>
  <c r="L1160"/>
  <c r="N1159"/>
  <c r="N2087" s="1"/>
  <c r="I1159"/>
  <c r="I2087" s="1"/>
  <c r="Q1158"/>
  <c r="L1158"/>
  <c r="N1158" s="1"/>
  <c r="N1157"/>
  <c r="I1157"/>
  <c r="I1975" s="1"/>
  <c r="N1156"/>
  <c r="N1974" s="1"/>
  <c r="I1156"/>
  <c r="I1974" s="1"/>
  <c r="M1155"/>
  <c r="L1155"/>
  <c r="N1154"/>
  <c r="N1897" s="1"/>
  <c r="I1154"/>
  <c r="I1897" s="1"/>
  <c r="Q1153"/>
  <c r="L1153"/>
  <c r="N1153" s="1"/>
  <c r="N1152"/>
  <c r="N1842" s="1"/>
  <c r="I1152"/>
  <c r="I1842" s="1"/>
  <c r="Q1151"/>
  <c r="L1151"/>
  <c r="N1151" s="1"/>
  <c r="Q1149"/>
  <c r="Q1148"/>
  <c r="Q1147"/>
  <c r="Q1146"/>
  <c r="Q1145"/>
  <c r="Q1144"/>
  <c r="Q1143"/>
  <c r="Q1142"/>
  <c r="Q1141"/>
  <c r="Q1140"/>
  <c r="Q1139"/>
  <c r="N1138"/>
  <c r="I1138"/>
  <c r="I2215" s="1"/>
  <c r="N1137"/>
  <c r="N2214" s="1"/>
  <c r="I1137"/>
  <c r="I2214" s="1"/>
  <c r="M1136"/>
  <c r="L1136"/>
  <c r="N1135"/>
  <c r="I1135"/>
  <c r="N1134"/>
  <c r="I1134"/>
  <c r="N1133"/>
  <c r="I1133"/>
  <c r="M1132"/>
  <c r="L1132"/>
  <c r="N1131"/>
  <c r="N2086" s="1"/>
  <c r="I1131"/>
  <c r="I2086" s="1"/>
  <c r="M1130"/>
  <c r="L1130"/>
  <c r="N1129"/>
  <c r="I1129"/>
  <c r="I1973" s="1"/>
  <c r="N1128"/>
  <c r="N1972" s="1"/>
  <c r="I1128"/>
  <c r="I1972" s="1"/>
  <c r="M1127"/>
  <c r="L1127"/>
  <c r="N1126"/>
  <c r="N1896" s="1"/>
  <c r="I1126"/>
  <c r="I1896" s="1"/>
  <c r="Q1125"/>
  <c r="L1125"/>
  <c r="N1125" s="1"/>
  <c r="N1124"/>
  <c r="I1124"/>
  <c r="I1841" s="1"/>
  <c r="N1123"/>
  <c r="N1840" s="1"/>
  <c r="I1123"/>
  <c r="I1840" s="1"/>
  <c r="M1122"/>
  <c r="L1122"/>
  <c r="N1120"/>
  <c r="I1120"/>
  <c r="I2213" s="1"/>
  <c r="N1119"/>
  <c r="N2212" s="1"/>
  <c r="I1119"/>
  <c r="I2212" s="1"/>
  <c r="M1118"/>
  <c r="L1118"/>
  <c r="N1118" s="1"/>
  <c r="N1117"/>
  <c r="I1117"/>
  <c r="N1116"/>
  <c r="I1116"/>
  <c r="N1115"/>
  <c r="I1115"/>
  <c r="M1114"/>
  <c r="L1114"/>
  <c r="N1113"/>
  <c r="I1113"/>
  <c r="I2085" s="1"/>
  <c r="M1112"/>
  <c r="L1112"/>
  <c r="N1112" s="1"/>
  <c r="N1111"/>
  <c r="I1111"/>
  <c r="I1971" s="1"/>
  <c r="N1110"/>
  <c r="N1970" s="1"/>
  <c r="I1110"/>
  <c r="I1970" s="1"/>
  <c r="M1109"/>
  <c r="L1109"/>
  <c r="N1109" s="1"/>
  <c r="N1108"/>
  <c r="N1895" s="1"/>
  <c r="I1108"/>
  <c r="I1895" s="1"/>
  <c r="M1107"/>
  <c r="L1107"/>
  <c r="N1106"/>
  <c r="I1106"/>
  <c r="I1839" s="1"/>
  <c r="M1105"/>
  <c r="L1105"/>
  <c r="Q1103"/>
  <c r="Q1102"/>
  <c r="Q1101"/>
  <c r="Q1100"/>
  <c r="Q1099"/>
  <c r="Q1098"/>
  <c r="Q1097"/>
  <c r="Q1096"/>
  <c r="Q1095"/>
  <c r="Q1094"/>
  <c r="N1093"/>
  <c r="I1093"/>
  <c r="I2211" s="1"/>
  <c r="N1092"/>
  <c r="N2210" s="1"/>
  <c r="I1092"/>
  <c r="I2210" s="1"/>
  <c r="M1091"/>
  <c r="L1091"/>
  <c r="N1090"/>
  <c r="I1090"/>
  <c r="N1089"/>
  <c r="N1088" s="1"/>
  <c r="I1089"/>
  <c r="M1088"/>
  <c r="L1088"/>
  <c r="N1087"/>
  <c r="I1087"/>
  <c r="I1969" s="1"/>
  <c r="N1086"/>
  <c r="N1968" s="1"/>
  <c r="I1086"/>
  <c r="I1968" s="1"/>
  <c r="M1085"/>
  <c r="L1085"/>
  <c r="N1084"/>
  <c r="N1894" s="1"/>
  <c r="I1084"/>
  <c r="I1894" s="1"/>
  <c r="M1083"/>
  <c r="L1083"/>
  <c r="N1082"/>
  <c r="N1838" s="1"/>
  <c r="I1082"/>
  <c r="I1838" s="1"/>
  <c r="M1081"/>
  <c r="L1081"/>
  <c r="N1079"/>
  <c r="I1079"/>
  <c r="I2209" s="1"/>
  <c r="N1078"/>
  <c r="N2208" s="1"/>
  <c r="I1078"/>
  <c r="I2208" s="1"/>
  <c r="M1077"/>
  <c r="L1077"/>
  <c r="N1076"/>
  <c r="I1076"/>
  <c r="N1075"/>
  <c r="I1075"/>
  <c r="M1074"/>
  <c r="L1074"/>
  <c r="N1073"/>
  <c r="N2084" s="1"/>
  <c r="I1073"/>
  <c r="I2084" s="1"/>
  <c r="M1072"/>
  <c r="L1072"/>
  <c r="N1071"/>
  <c r="I1071"/>
  <c r="I1967" s="1"/>
  <c r="N1070"/>
  <c r="N1966" s="1"/>
  <c r="I1070"/>
  <c r="I1966" s="1"/>
  <c r="M1069"/>
  <c r="L1069"/>
  <c r="N1068"/>
  <c r="N1893" s="1"/>
  <c r="I1068"/>
  <c r="I1893" s="1"/>
  <c r="M1067"/>
  <c r="L1067"/>
  <c r="N1066"/>
  <c r="N1837" s="1"/>
  <c r="I1066"/>
  <c r="I1837" s="1"/>
  <c r="M1065"/>
  <c r="L1065"/>
  <c r="Q1063"/>
  <c r="Q1062"/>
  <c r="Q1061"/>
  <c r="Q1060"/>
  <c r="Q1059"/>
  <c r="Q1058"/>
  <c r="Q1057"/>
  <c r="Q1056"/>
  <c r="Q1055"/>
  <c r="Q1054"/>
  <c r="Q1053"/>
  <c r="Q1052"/>
  <c r="Q1051"/>
  <c r="Q1050"/>
  <c r="Q1049"/>
  <c r="Q1048"/>
  <c r="Q1047"/>
  <c r="N1046"/>
  <c r="I1046"/>
  <c r="I2207" s="1"/>
  <c r="N1045"/>
  <c r="N2206" s="1"/>
  <c r="I1045"/>
  <c r="I2206" s="1"/>
  <c r="M1044"/>
  <c r="L1044"/>
  <c r="N1043"/>
  <c r="I1043"/>
  <c r="N1042"/>
  <c r="N1041" s="1"/>
  <c r="I1042"/>
  <c r="M1041"/>
  <c r="L1041"/>
  <c r="N1040"/>
  <c r="I1040"/>
  <c r="I1965" s="1"/>
  <c r="N1039"/>
  <c r="N1964" s="1"/>
  <c r="I1039"/>
  <c r="I1964" s="1"/>
  <c r="M1038"/>
  <c r="L1038"/>
  <c r="N1037"/>
  <c r="N1892" s="1"/>
  <c r="I1037"/>
  <c r="I1892" s="1"/>
  <c r="M1036"/>
  <c r="M1035" s="1"/>
  <c r="L1036"/>
  <c r="N1034"/>
  <c r="I1034"/>
  <c r="I2205" s="1"/>
  <c r="N1033"/>
  <c r="N2204" s="1"/>
  <c r="I1033"/>
  <c r="I2204" s="1"/>
  <c r="M1032"/>
  <c r="L1032"/>
  <c r="N1031"/>
  <c r="I1031"/>
  <c r="N1030"/>
  <c r="I1030"/>
  <c r="M1029"/>
  <c r="L1029"/>
  <c r="N1028"/>
  <c r="I1028"/>
  <c r="I2083" s="1"/>
  <c r="M1027"/>
  <c r="L1027"/>
  <c r="N1026"/>
  <c r="N1963" s="1"/>
  <c r="I1026"/>
  <c r="I1963" s="1"/>
  <c r="M1025"/>
  <c r="L1025"/>
  <c r="N1024"/>
  <c r="N1891" s="1"/>
  <c r="I1024"/>
  <c r="I1891" s="1"/>
  <c r="L1023"/>
  <c r="N1023" s="1"/>
  <c r="Q1021"/>
  <c r="Q1020"/>
  <c r="Q1019"/>
  <c r="Q1018"/>
  <c r="Q1017"/>
  <c r="Q1016"/>
  <c r="Q1015"/>
  <c r="Q1014"/>
  <c r="Q1013"/>
  <c r="Q1012"/>
  <c r="Q1011"/>
  <c r="Q1010"/>
  <c r="Q1009"/>
  <c r="Q1008"/>
  <c r="Q1007"/>
  <c r="N1006"/>
  <c r="I1006"/>
  <c r="I2203" s="1"/>
  <c r="N1005"/>
  <c r="N2202" s="1"/>
  <c r="I1005"/>
  <c r="I2202" s="1"/>
  <c r="M1004"/>
  <c r="L1004"/>
  <c r="N1003"/>
  <c r="I1003"/>
  <c r="I1001" s="1"/>
  <c r="N1002"/>
  <c r="N1001" s="1"/>
  <c r="I1002"/>
  <c r="M1001"/>
  <c r="L1001"/>
  <c r="N1000"/>
  <c r="N1962" s="1"/>
  <c r="I1000"/>
  <c r="I1962" s="1"/>
  <c r="M999"/>
  <c r="M996" s="1"/>
  <c r="L999"/>
  <c r="N998"/>
  <c r="N1890" s="1"/>
  <c r="I998"/>
  <c r="I1890" s="1"/>
  <c r="Q997"/>
  <c r="L997"/>
  <c r="N995"/>
  <c r="I995"/>
  <c r="I2201" s="1"/>
  <c r="N994"/>
  <c r="N2200" s="1"/>
  <c r="I994"/>
  <c r="I2200" s="1"/>
  <c r="M993"/>
  <c r="L993"/>
  <c r="N992"/>
  <c r="I992"/>
  <c r="I1961" s="1"/>
  <c r="N991"/>
  <c r="I991"/>
  <c r="N990"/>
  <c r="I990"/>
  <c r="M989"/>
  <c r="M987" s="1"/>
  <c r="L989"/>
  <c r="I989" s="1"/>
  <c r="N988"/>
  <c r="N1960" s="1"/>
  <c r="I988"/>
  <c r="I1960" s="1"/>
  <c r="N986"/>
  <c r="N1889" s="1"/>
  <c r="I986"/>
  <c r="I1889" s="1"/>
  <c r="M985"/>
  <c r="L985"/>
  <c r="N985" s="1"/>
  <c r="L984"/>
  <c r="L1836" s="1"/>
  <c r="M983"/>
  <c r="Q981"/>
  <c r="Q980"/>
  <c r="Q979"/>
  <c r="Q978"/>
  <c r="Q977"/>
  <c r="Q976"/>
  <c r="Q975"/>
  <c r="Q974"/>
  <c r="Q973"/>
  <c r="Q972"/>
  <c r="Q971"/>
  <c r="Q970"/>
  <c r="Q969"/>
  <c r="Q968"/>
  <c r="Q967"/>
  <c r="Q966"/>
  <c r="Q965"/>
  <c r="N964"/>
  <c r="I964"/>
  <c r="I2199" s="1"/>
  <c r="N963"/>
  <c r="N2198" s="1"/>
  <c r="M962"/>
  <c r="L962"/>
  <c r="N961"/>
  <c r="I961"/>
  <c r="N960"/>
  <c r="I960"/>
  <c r="N959"/>
  <c r="M959"/>
  <c r="L959"/>
  <c r="N958"/>
  <c r="N2082" s="1"/>
  <c r="M957"/>
  <c r="L957"/>
  <c r="N956"/>
  <c r="N955"/>
  <c r="N1958" s="1"/>
  <c r="M954"/>
  <c r="L954"/>
  <c r="N953"/>
  <c r="N1888" s="1"/>
  <c r="M952"/>
  <c r="L952"/>
  <c r="N951"/>
  <c r="N1835" s="1"/>
  <c r="M950"/>
  <c r="L950"/>
  <c r="N950" s="1"/>
  <c r="N948"/>
  <c r="I948"/>
  <c r="I2197" s="1"/>
  <c r="N947"/>
  <c r="N2196" s="1"/>
  <c r="I947"/>
  <c r="I2196" s="1"/>
  <c r="M946"/>
  <c r="L946"/>
  <c r="N945"/>
  <c r="I945"/>
  <c r="N944"/>
  <c r="I944"/>
  <c r="M943"/>
  <c r="L943"/>
  <c r="N942"/>
  <c r="I942"/>
  <c r="N941"/>
  <c r="N2132" s="1"/>
  <c r="I941"/>
  <c r="I2132" s="1"/>
  <c r="L940"/>
  <c r="L2131" s="1"/>
  <c r="M939"/>
  <c r="M2130" s="1"/>
  <c r="N938"/>
  <c r="I938"/>
  <c r="I1957" s="1"/>
  <c r="N937"/>
  <c r="N1956" s="1"/>
  <c r="I937"/>
  <c r="I1956" s="1"/>
  <c r="M936"/>
  <c r="L936"/>
  <c r="N917"/>
  <c r="N916" s="1"/>
  <c r="I917"/>
  <c r="M916"/>
  <c r="M918" s="1"/>
  <c r="L916"/>
  <c r="N915"/>
  <c r="N1801" s="1"/>
  <c r="I915"/>
  <c r="I1801" s="1"/>
  <c r="N914"/>
  <c r="N1800" s="1"/>
  <c r="I914"/>
  <c r="I1800" s="1"/>
  <c r="N913"/>
  <c r="N1799" s="1"/>
  <c r="I913"/>
  <c r="I1799" s="1"/>
  <c r="N912"/>
  <c r="N1798" s="1"/>
  <c r="I912"/>
  <c r="I1798" s="1"/>
  <c r="L911"/>
  <c r="O883"/>
  <c r="N883"/>
  <c r="N2389" s="1"/>
  <c r="I883"/>
  <c r="I2389" s="1"/>
  <c r="M882"/>
  <c r="M885" s="1"/>
  <c r="L882"/>
  <c r="L885" s="1"/>
  <c r="N859"/>
  <c r="N2355" s="1"/>
  <c r="I859"/>
  <c r="I858" s="1"/>
  <c r="L858"/>
  <c r="N857"/>
  <c r="I857"/>
  <c r="N856"/>
  <c r="I856"/>
  <c r="M855"/>
  <c r="N854"/>
  <c r="N2081" s="1"/>
  <c r="I854"/>
  <c r="I2081" s="1"/>
  <c r="M853"/>
  <c r="L853"/>
  <c r="L238" s="1"/>
  <c r="N852"/>
  <c r="N1834" s="1"/>
  <c r="I852"/>
  <c r="I1834" s="1"/>
  <c r="N851"/>
  <c r="N1833" s="1"/>
  <c r="I851"/>
  <c r="I1833" s="1"/>
  <c r="N850"/>
  <c r="N1832" s="1"/>
  <c r="I850"/>
  <c r="I1832" s="1"/>
  <c r="N849"/>
  <c r="N1831" s="1"/>
  <c r="I849"/>
  <c r="I1831" s="1"/>
  <c r="M848"/>
  <c r="L848"/>
  <c r="N847"/>
  <c r="N1797" s="1"/>
  <c r="I847"/>
  <c r="I1797" s="1"/>
  <c r="M846"/>
  <c r="L846"/>
  <c r="N828"/>
  <c r="N2388" s="1"/>
  <c r="I828"/>
  <c r="I2388" s="1"/>
  <c r="N827"/>
  <c r="N2387" s="1"/>
  <c r="I827"/>
  <c r="I2387" s="1"/>
  <c r="M826"/>
  <c r="M234" s="1"/>
  <c r="J234" s="1"/>
  <c r="L826"/>
  <c r="N825"/>
  <c r="N2195" s="1"/>
  <c r="I825"/>
  <c r="I2195" s="1"/>
  <c r="N824"/>
  <c r="N2194" s="1"/>
  <c r="I824"/>
  <c r="I2194" s="1"/>
  <c r="N823"/>
  <c r="N2193" s="1"/>
  <c r="I823"/>
  <c r="I2193" s="1"/>
  <c r="N822"/>
  <c r="N2192" s="1"/>
  <c r="I822"/>
  <c r="I2192" s="1"/>
  <c r="M821"/>
  <c r="L821"/>
  <c r="I821" s="1"/>
  <c r="N820"/>
  <c r="I820"/>
  <c r="N819"/>
  <c r="I819"/>
  <c r="N818"/>
  <c r="N817" s="1"/>
  <c r="N232" s="1"/>
  <c r="I818"/>
  <c r="H818"/>
  <c r="M817"/>
  <c r="L817"/>
  <c r="L232" s="1"/>
  <c r="I232" s="1"/>
  <c r="N816"/>
  <c r="N2080" s="1"/>
  <c r="I816"/>
  <c r="I2080" s="1"/>
  <c r="L815"/>
  <c r="I815"/>
  <c r="N814"/>
  <c r="I814"/>
  <c r="I1796" s="1"/>
  <c r="N813"/>
  <c r="N1795" s="1"/>
  <c r="I813"/>
  <c r="I1795" s="1"/>
  <c r="N812"/>
  <c r="N1794" s="1"/>
  <c r="I812"/>
  <c r="I1794" s="1"/>
  <c r="N811"/>
  <c r="N1793" s="1"/>
  <c r="I811"/>
  <c r="I1793" s="1"/>
  <c r="M810"/>
  <c r="L810"/>
  <c r="N785"/>
  <c r="N784" s="1"/>
  <c r="I785"/>
  <c r="K785" s="1"/>
  <c r="K784" s="1"/>
  <c r="M784"/>
  <c r="M787" s="1"/>
  <c r="J784"/>
  <c r="J787" s="1"/>
  <c r="N783"/>
  <c r="N1792" s="1"/>
  <c r="I783"/>
  <c r="I1792" s="1"/>
  <c r="L782"/>
  <c r="L787" s="1"/>
  <c r="N753"/>
  <c r="N752" s="1"/>
  <c r="N225" s="1"/>
  <c r="I753"/>
  <c r="K753" s="1"/>
  <c r="K752" s="1"/>
  <c r="M752"/>
  <c r="M755" s="1"/>
  <c r="J752"/>
  <c r="J755" s="1"/>
  <c r="N751"/>
  <c r="N2079" s="1"/>
  <c r="I751"/>
  <c r="I2079" s="1"/>
  <c r="L750"/>
  <c r="L224" s="1"/>
  <c r="N224" s="1"/>
  <c r="N749"/>
  <c r="N1791" s="1"/>
  <c r="I749"/>
  <c r="I1791" s="1"/>
  <c r="N748"/>
  <c r="N1790" s="1"/>
  <c r="I748"/>
  <c r="I1790" s="1"/>
  <c r="N747"/>
  <c r="N1789" s="1"/>
  <c r="I747"/>
  <c r="I1789" s="1"/>
  <c r="N746"/>
  <c r="N1788" s="1"/>
  <c r="I746"/>
  <c r="I1788" s="1"/>
  <c r="N745"/>
  <c r="N1787" s="1"/>
  <c r="I745"/>
  <c r="I1787" s="1"/>
  <c r="N744"/>
  <c r="N1786" s="1"/>
  <c r="I744"/>
  <c r="I1786" s="1"/>
  <c r="N743"/>
  <c r="N1785" s="1"/>
  <c r="I743"/>
  <c r="I1785" s="1"/>
  <c r="L742"/>
  <c r="I742"/>
  <c r="N721"/>
  <c r="I721"/>
  <c r="I2370" s="1"/>
  <c r="N720"/>
  <c r="I720"/>
  <c r="I2369" s="1"/>
  <c r="N719"/>
  <c r="I719"/>
  <c r="I2368" s="1"/>
  <c r="N718"/>
  <c r="I718"/>
  <c r="I2367" s="1"/>
  <c r="N717"/>
  <c r="I717"/>
  <c r="I2366" s="1"/>
  <c r="N716"/>
  <c r="I716"/>
  <c r="I2365" s="1"/>
  <c r="N715"/>
  <c r="I715"/>
  <c r="I2364" s="1"/>
  <c r="N714"/>
  <c r="I714"/>
  <c r="I2363" s="1"/>
  <c r="N713"/>
  <c r="I713"/>
  <c r="I2362" s="1"/>
  <c r="N712"/>
  <c r="I712"/>
  <c r="I2361" s="1"/>
  <c r="N711"/>
  <c r="I711"/>
  <c r="I2360" s="1"/>
  <c r="N710"/>
  <c r="N2363" s="1"/>
  <c r="I710"/>
  <c r="I2359" s="1"/>
  <c r="N709"/>
  <c r="N2362" s="1"/>
  <c r="I709"/>
  <c r="I2358" s="1"/>
  <c r="L708"/>
  <c r="M707"/>
  <c r="M221" s="1"/>
  <c r="N706"/>
  <c r="N2170" s="1"/>
  <c r="I706"/>
  <c r="I2174" s="1"/>
  <c r="L705"/>
  <c r="L2169" s="1"/>
  <c r="N704"/>
  <c r="N2155" s="1"/>
  <c r="I704"/>
  <c r="I2172" s="1"/>
  <c r="N703"/>
  <c r="N2154" s="1"/>
  <c r="I703"/>
  <c r="I2171" s="1"/>
  <c r="N702"/>
  <c r="N2153" s="1"/>
  <c r="I702"/>
  <c r="I2170" s="1"/>
  <c r="N701"/>
  <c r="N2152" s="1"/>
  <c r="I701"/>
  <c r="I2169" s="1"/>
  <c r="N700"/>
  <c r="I700"/>
  <c r="I2168" s="1"/>
  <c r="N699"/>
  <c r="N2165" s="1"/>
  <c r="I699"/>
  <c r="I2167" s="1"/>
  <c r="N698"/>
  <c r="N2162" s="1"/>
  <c r="I698"/>
  <c r="I2166" s="1"/>
  <c r="N697"/>
  <c r="I697"/>
  <c r="I2165" s="1"/>
  <c r="N696"/>
  <c r="I696"/>
  <c r="I2164" s="1"/>
  <c r="N695"/>
  <c r="N2173" s="1"/>
  <c r="I695"/>
  <c r="I2163" s="1"/>
  <c r="N694"/>
  <c r="N2172" s="1"/>
  <c r="I694"/>
  <c r="I2162" s="1"/>
  <c r="L693"/>
  <c r="N692"/>
  <c r="N2151" s="1"/>
  <c r="I692"/>
  <c r="I2160" s="1"/>
  <c r="M691"/>
  <c r="O684"/>
  <c r="O685" s="1"/>
  <c r="N678"/>
  <c r="N677" s="1"/>
  <c r="I678"/>
  <c r="I677" s="1"/>
  <c r="M677"/>
  <c r="L677"/>
  <c r="L131" s="1"/>
  <c r="N676"/>
  <c r="N2338" s="1"/>
  <c r="N2339" s="1"/>
  <c r="I676"/>
  <c r="M675"/>
  <c r="L675"/>
  <c r="N674"/>
  <c r="I674"/>
  <c r="N673"/>
  <c r="I673"/>
  <c r="M672"/>
  <c r="L672"/>
  <c r="N671"/>
  <c r="N2063" s="1"/>
  <c r="I671"/>
  <c r="I670" s="1"/>
  <c r="L670"/>
  <c r="I669"/>
  <c r="N668"/>
  <c r="N1784" s="1"/>
  <c r="I668"/>
  <c r="I1784" s="1"/>
  <c r="M667"/>
  <c r="L667"/>
  <c r="L214" s="1"/>
  <c r="I214" s="1"/>
  <c r="N650"/>
  <c r="I650"/>
  <c r="N649"/>
  <c r="I649"/>
  <c r="N648"/>
  <c r="N2366" s="1"/>
  <c r="I648"/>
  <c r="N647"/>
  <c r="N2365" s="1"/>
  <c r="I647"/>
  <c r="N646"/>
  <c r="N2364" s="1"/>
  <c r="I646"/>
  <c r="N645"/>
  <c r="N2360" s="1"/>
  <c r="I645"/>
  <c r="N644"/>
  <c r="N2359" s="1"/>
  <c r="I644"/>
  <c r="M643"/>
  <c r="L643"/>
  <c r="L210" s="1"/>
  <c r="N210" s="1"/>
  <c r="N642"/>
  <c r="I642"/>
  <c r="I2159" s="1"/>
  <c r="N641"/>
  <c r="N2168" s="1"/>
  <c r="I641"/>
  <c r="I2158" s="1"/>
  <c r="N640"/>
  <c r="N2167" s="1"/>
  <c r="I640"/>
  <c r="I2157" s="1"/>
  <c r="N639"/>
  <c r="N2166" s="1"/>
  <c r="I639"/>
  <c r="I2156" s="1"/>
  <c r="N638"/>
  <c r="I638"/>
  <c r="I2155" s="1"/>
  <c r="N637"/>
  <c r="I637"/>
  <c r="I2154" s="1"/>
  <c r="N636"/>
  <c r="N2164" s="1"/>
  <c r="I636"/>
  <c r="I2153" s="1"/>
  <c r="N635"/>
  <c r="N2163" s="1"/>
  <c r="I635"/>
  <c r="I2152" s="1"/>
  <c r="N634"/>
  <c r="N2157" s="1"/>
  <c r="I634"/>
  <c r="I2151" s="1"/>
  <c r="N633"/>
  <c r="M633"/>
  <c r="M209" s="1"/>
  <c r="L633"/>
  <c r="N632"/>
  <c r="I632"/>
  <c r="N631"/>
  <c r="I631"/>
  <c r="N630"/>
  <c r="M630"/>
  <c r="M211" s="1"/>
  <c r="N211" s="1"/>
  <c r="L630"/>
  <c r="N629"/>
  <c r="I629"/>
  <c r="L628"/>
  <c r="L2053" s="1"/>
  <c r="L627"/>
  <c r="L2052" s="1"/>
  <c r="L626"/>
  <c r="L2051" s="1"/>
  <c r="N625"/>
  <c r="N2050" s="1"/>
  <c r="I625"/>
  <c r="I2050" s="1"/>
  <c r="N624"/>
  <c r="N2049" s="1"/>
  <c r="I624"/>
  <c r="I2049" s="1"/>
  <c r="L623"/>
  <c r="L2048" s="1"/>
  <c r="N622"/>
  <c r="N2047" s="1"/>
  <c r="I622"/>
  <c r="I2047" s="1"/>
  <c r="N621"/>
  <c r="N2046" s="1"/>
  <c r="I621"/>
  <c r="I2046" s="1"/>
  <c r="N620"/>
  <c r="N2045" s="1"/>
  <c r="I620"/>
  <c r="I2045" s="1"/>
  <c r="N619"/>
  <c r="N2044" s="1"/>
  <c r="I619"/>
  <c r="I2044" s="1"/>
  <c r="M618"/>
  <c r="J618" s="1"/>
  <c r="J208" s="1"/>
  <c r="J111" s="1"/>
  <c r="L617"/>
  <c r="L1772" s="1"/>
  <c r="M616"/>
  <c r="N600"/>
  <c r="N2356" s="1"/>
  <c r="I600"/>
  <c r="I2355" s="1"/>
  <c r="L599"/>
  <c r="N598"/>
  <c r="N2281" s="1"/>
  <c r="I598"/>
  <c r="I2281" s="1"/>
  <c r="N597"/>
  <c r="N2280" s="1"/>
  <c r="I597"/>
  <c r="I2280" s="1"/>
  <c r="L596"/>
  <c r="L2279" s="1"/>
  <c r="N595"/>
  <c r="N2278" s="1"/>
  <c r="I595"/>
  <c r="I2278" s="1"/>
  <c r="N594"/>
  <c r="N2277" s="1"/>
  <c r="I594"/>
  <c r="I2277" s="1"/>
  <c r="N593"/>
  <c r="N2276" s="1"/>
  <c r="I593"/>
  <c r="I2276" s="1"/>
  <c r="N592"/>
  <c r="N2275" s="1"/>
  <c r="I592"/>
  <c r="I2275" s="1"/>
  <c r="N591"/>
  <c r="N2274" s="1"/>
  <c r="I591"/>
  <c r="I2274" s="1"/>
  <c r="M590"/>
  <c r="M192" s="1"/>
  <c r="N589"/>
  <c r="I589"/>
  <c r="N588"/>
  <c r="I588"/>
  <c r="N587"/>
  <c r="I587"/>
  <c r="N586"/>
  <c r="M585"/>
  <c r="M191" s="1"/>
  <c r="L585"/>
  <c r="L584"/>
  <c r="N584" s="1"/>
  <c r="N583"/>
  <c r="N2062" s="1"/>
  <c r="I583"/>
  <c r="I2062" s="1"/>
  <c r="N582"/>
  <c r="N2061" s="1"/>
  <c r="I582"/>
  <c r="I2061" s="1"/>
  <c r="L581"/>
  <c r="L2060" s="1"/>
  <c r="N580"/>
  <c r="N2059" s="1"/>
  <c r="I580"/>
  <c r="I2059" s="1"/>
  <c r="M579"/>
  <c r="M2058" s="1"/>
  <c r="L578"/>
  <c r="L1771" s="1"/>
  <c r="N577"/>
  <c r="N1770" s="1"/>
  <c r="I577"/>
  <c r="I1770" s="1"/>
  <c r="N576"/>
  <c r="N1769" s="1"/>
  <c r="I576"/>
  <c r="I1769" s="1"/>
  <c r="M575"/>
  <c r="J575" s="1"/>
  <c r="N560"/>
  <c r="I560"/>
  <c r="N559"/>
  <c r="I559"/>
  <c r="N558"/>
  <c r="N557"/>
  <c r="I557"/>
  <c r="M556"/>
  <c r="L556"/>
  <c r="N555"/>
  <c r="N2076" s="1"/>
  <c r="I555"/>
  <c r="I2078" s="1"/>
  <c r="N554"/>
  <c r="I554"/>
  <c r="I2077" s="1"/>
  <c r="N553"/>
  <c r="I553"/>
  <c r="I2076" s="1"/>
  <c r="M552"/>
  <c r="M186" s="1"/>
  <c r="L552"/>
  <c r="N551"/>
  <c r="N1768" s="1"/>
  <c r="I551"/>
  <c r="I1768" s="1"/>
  <c r="N550"/>
  <c r="N1767" s="1"/>
  <c r="I550"/>
  <c r="I1767" s="1"/>
  <c r="N549"/>
  <c r="N1766" s="1"/>
  <c r="I549"/>
  <c r="I1766" s="1"/>
  <c r="N548"/>
  <c r="N1765" s="1"/>
  <c r="I548"/>
  <c r="I1765" s="1"/>
  <c r="N547"/>
  <c r="N1764" s="1"/>
  <c r="I547"/>
  <c r="I1764" s="1"/>
  <c r="I546"/>
  <c r="I1763" s="1"/>
  <c r="L545"/>
  <c r="N545" s="1"/>
  <c r="N544"/>
  <c r="I544"/>
  <c r="I1761" s="1"/>
  <c r="M543"/>
  <c r="M185" s="1"/>
  <c r="L543"/>
  <c r="I543" s="1"/>
  <c r="L518"/>
  <c r="L2354" s="1"/>
  <c r="M517"/>
  <c r="N516"/>
  <c r="N2156" s="1"/>
  <c r="I516"/>
  <c r="I515" s="1"/>
  <c r="M515"/>
  <c r="L515"/>
  <c r="N514"/>
  <c r="I514"/>
  <c r="N513"/>
  <c r="I513"/>
  <c r="M512"/>
  <c r="L512"/>
  <c r="I512" s="1"/>
  <c r="L511"/>
  <c r="L1830" s="1"/>
  <c r="L510"/>
  <c r="L1829" s="1"/>
  <c r="L509"/>
  <c r="L1828" s="1"/>
  <c r="N508"/>
  <c r="N1827" s="1"/>
  <c r="I508"/>
  <c r="I1827" s="1"/>
  <c r="N507"/>
  <c r="N1826" s="1"/>
  <c r="I507"/>
  <c r="I1826" s="1"/>
  <c r="L506"/>
  <c r="L1825" s="1"/>
  <c r="N505"/>
  <c r="N1824" s="1"/>
  <c r="I505"/>
  <c r="I1824" s="1"/>
  <c r="L504"/>
  <c r="L1823" s="1"/>
  <c r="L503"/>
  <c r="L1822" s="1"/>
  <c r="L502"/>
  <c r="L1821" s="1"/>
  <c r="L501"/>
  <c r="L1820" s="1"/>
  <c r="N500"/>
  <c r="N1819" s="1"/>
  <c r="I500"/>
  <c r="I1819" s="1"/>
  <c r="N499"/>
  <c r="N1818" s="1"/>
  <c r="I499"/>
  <c r="I1818" s="1"/>
  <c r="M498"/>
  <c r="N484"/>
  <c r="N2395" s="1"/>
  <c r="N2396" s="1"/>
  <c r="I484"/>
  <c r="I2395" s="1"/>
  <c r="I2396" s="1"/>
  <c r="M483"/>
  <c r="L483"/>
  <c r="N482"/>
  <c r="I482"/>
  <c r="N481"/>
  <c r="I481"/>
  <c r="M480"/>
  <c r="L480"/>
  <c r="N479"/>
  <c r="I479"/>
  <c r="I2075" s="1"/>
  <c r="N478"/>
  <c r="N2074" s="1"/>
  <c r="I478"/>
  <c r="I2074" s="1"/>
  <c r="M477"/>
  <c r="L477"/>
  <c r="L176" s="1"/>
  <c r="I176" s="1"/>
  <c r="N476"/>
  <c r="N1760" s="1"/>
  <c r="I476"/>
  <c r="I1760" s="1"/>
  <c r="N475"/>
  <c r="I475"/>
  <c r="I1759" s="1"/>
  <c r="N474"/>
  <c r="I474"/>
  <c r="I1758" s="1"/>
  <c r="N473"/>
  <c r="I473"/>
  <c r="I1757" s="1"/>
  <c r="N472"/>
  <c r="N1758" s="1"/>
  <c r="I472"/>
  <c r="N471"/>
  <c r="N1757" s="1"/>
  <c r="I471"/>
  <c r="N470"/>
  <c r="N1756" s="1"/>
  <c r="I470"/>
  <c r="M469"/>
  <c r="L469"/>
  <c r="L175" s="1"/>
  <c r="N448"/>
  <c r="N2386" s="1"/>
  <c r="I448"/>
  <c r="I2386" s="1"/>
  <c r="N447"/>
  <c r="N2385" s="1"/>
  <c r="I447"/>
  <c r="I2385" s="1"/>
  <c r="M446"/>
  <c r="M173" s="1"/>
  <c r="L446"/>
  <c r="L173" s="1"/>
  <c r="N445"/>
  <c r="J445"/>
  <c r="J2304" s="1"/>
  <c r="I445"/>
  <c r="I2304" s="1"/>
  <c r="M444"/>
  <c r="M172" s="1"/>
  <c r="L444"/>
  <c r="J444"/>
  <c r="J172" s="1"/>
  <c r="N443"/>
  <c r="I443"/>
  <c r="I2130" s="1"/>
  <c r="M442"/>
  <c r="L442"/>
  <c r="L170" s="1"/>
  <c r="N441"/>
  <c r="I441"/>
  <c r="I2120" s="1"/>
  <c r="M440"/>
  <c r="L440"/>
  <c r="L169" s="1"/>
  <c r="O169" s="1"/>
  <c r="N439"/>
  <c r="N438" s="1"/>
  <c r="I439"/>
  <c r="K439" s="1"/>
  <c r="K438" s="1"/>
  <c r="M438"/>
  <c r="J438"/>
  <c r="N437"/>
  <c r="N2073" s="1"/>
  <c r="I437"/>
  <c r="I2073" s="1"/>
  <c r="L436"/>
  <c r="N435"/>
  <c r="I435"/>
  <c r="I1756" s="1"/>
  <c r="N434"/>
  <c r="N1755" s="1"/>
  <c r="I434"/>
  <c r="I1755" s="1"/>
  <c r="N433"/>
  <c r="N1754" s="1"/>
  <c r="I433"/>
  <c r="I1754" s="1"/>
  <c r="N432"/>
  <c r="N1753" s="1"/>
  <c r="I432"/>
  <c r="I1753" s="1"/>
  <c r="N431"/>
  <c r="I431"/>
  <c r="I1752" s="1"/>
  <c r="N430"/>
  <c r="N1751" s="1"/>
  <c r="I430"/>
  <c r="I1751" s="1"/>
  <c r="N429"/>
  <c r="N1750" s="1"/>
  <c r="I429"/>
  <c r="I1750" s="1"/>
  <c r="N428"/>
  <c r="N1749" s="1"/>
  <c r="I428"/>
  <c r="I1749" s="1"/>
  <c r="N427"/>
  <c r="N1748" s="1"/>
  <c r="I427"/>
  <c r="I1748" s="1"/>
  <c r="N426"/>
  <c r="N1747" s="1"/>
  <c r="I426"/>
  <c r="I1747" s="1"/>
  <c r="N425"/>
  <c r="N1746" s="1"/>
  <c r="I425"/>
  <c r="I1746" s="1"/>
  <c r="N424"/>
  <c r="N1745" s="1"/>
  <c r="I424"/>
  <c r="I1745" s="1"/>
  <c r="N423"/>
  <c r="N1731" s="1"/>
  <c r="I423"/>
  <c r="I1731" s="1"/>
  <c r="N422"/>
  <c r="N1730" s="1"/>
  <c r="I422"/>
  <c r="I1730" s="1"/>
  <c r="N421"/>
  <c r="N1729" s="1"/>
  <c r="I421"/>
  <c r="I1729" s="1"/>
  <c r="N420"/>
  <c r="N1728" s="1"/>
  <c r="I420"/>
  <c r="I1728" s="1"/>
  <c r="N419"/>
  <c r="N1727" s="1"/>
  <c r="I419"/>
  <c r="I1727" s="1"/>
  <c r="N418"/>
  <c r="N1726" s="1"/>
  <c r="I418"/>
  <c r="I1726" s="1"/>
  <c r="N417"/>
  <c r="N1725" s="1"/>
  <c r="I417"/>
  <c r="I1725" s="1"/>
  <c r="N416"/>
  <c r="I416"/>
  <c r="I1724" s="1"/>
  <c r="L415"/>
  <c r="L167" s="1"/>
  <c r="O413"/>
  <c r="N399"/>
  <c r="N2287" s="1"/>
  <c r="I399"/>
  <c r="I2287" s="1"/>
  <c r="N398"/>
  <c r="N2286" s="1"/>
  <c r="I398"/>
  <c r="I2286" s="1"/>
  <c r="M397"/>
  <c r="L397"/>
  <c r="L165" s="1"/>
  <c r="O165" s="1"/>
  <c r="N396"/>
  <c r="N2191" s="1"/>
  <c r="I396"/>
  <c r="I2191" s="1"/>
  <c r="N395"/>
  <c r="N2190" s="1"/>
  <c r="I395"/>
  <c r="I2190" s="1"/>
  <c r="M394"/>
  <c r="L394"/>
  <c r="L164" s="1"/>
  <c r="N393"/>
  <c r="I393"/>
  <c r="N392"/>
  <c r="I392"/>
  <c r="N391"/>
  <c r="I391"/>
  <c r="M390"/>
  <c r="L390"/>
  <c r="N389"/>
  <c r="N2072" s="1"/>
  <c r="I389"/>
  <c r="I2072" s="1"/>
  <c r="L388"/>
  <c r="N387"/>
  <c r="N1723" s="1"/>
  <c r="I387"/>
  <c r="I1723" s="1"/>
  <c r="N386"/>
  <c r="N1722" s="1"/>
  <c r="I386"/>
  <c r="I1722" s="1"/>
  <c r="N385"/>
  <c r="N1721" s="1"/>
  <c r="I385"/>
  <c r="I1721" s="1"/>
  <c r="N384"/>
  <c r="N1720" s="1"/>
  <c r="I384"/>
  <c r="I1720" s="1"/>
  <c r="N383"/>
  <c r="N1719" s="1"/>
  <c r="I383"/>
  <c r="I1719" s="1"/>
  <c r="N382"/>
  <c r="N1718" s="1"/>
  <c r="I382"/>
  <c r="I1718" s="1"/>
  <c r="N381"/>
  <c r="N1717" s="1"/>
  <c r="I381"/>
  <c r="I1717" s="1"/>
  <c r="L380"/>
  <c r="L1716" s="1"/>
  <c r="N379"/>
  <c r="N1715" s="1"/>
  <c r="I379"/>
  <c r="I1715" s="1"/>
  <c r="N378"/>
  <c r="N1714" s="1"/>
  <c r="I378"/>
  <c r="I1714" s="1"/>
  <c r="N377"/>
  <c r="N1713" s="1"/>
  <c r="I377"/>
  <c r="I1713" s="1"/>
  <c r="N376"/>
  <c r="N1712" s="1"/>
  <c r="I376"/>
  <c r="I1712" s="1"/>
  <c r="N375"/>
  <c r="N1711" s="1"/>
  <c r="I375"/>
  <c r="I1711" s="1"/>
  <c r="N374"/>
  <c r="N1710" s="1"/>
  <c r="I374"/>
  <c r="I1710" s="1"/>
  <c r="N373"/>
  <c r="I373"/>
  <c r="N372"/>
  <c r="I372"/>
  <c r="M371"/>
  <c r="M160" s="1"/>
  <c r="M333"/>
  <c r="J333"/>
  <c r="N331"/>
  <c r="N1709" s="1"/>
  <c r="I331"/>
  <c r="I1709" s="1"/>
  <c r="L330"/>
  <c r="L333" s="1"/>
  <c r="N303"/>
  <c r="N302" s="1"/>
  <c r="I303"/>
  <c r="I2058" s="1"/>
  <c r="M302"/>
  <c r="M156" s="1"/>
  <c r="L302"/>
  <c r="N301"/>
  <c r="N2138" s="1"/>
  <c r="I301"/>
  <c r="I2138" s="1"/>
  <c r="I2139" s="1"/>
  <c r="N300"/>
  <c r="M300"/>
  <c r="L300"/>
  <c r="N299"/>
  <c r="I299"/>
  <c r="I1708" s="1"/>
  <c r="N298"/>
  <c r="N1707" s="1"/>
  <c r="I298"/>
  <c r="I1707" s="1"/>
  <c r="N297"/>
  <c r="N1706" s="1"/>
  <c r="I297"/>
  <c r="I1706" s="1"/>
  <c r="N296"/>
  <c r="N1705" s="1"/>
  <c r="I296"/>
  <c r="I1705" s="1"/>
  <c r="N295"/>
  <c r="N1704" s="1"/>
  <c r="I295"/>
  <c r="I1704" s="1"/>
  <c r="L294"/>
  <c r="L1703" s="1"/>
  <c r="N293"/>
  <c r="N1702" s="1"/>
  <c r="I293"/>
  <c r="I1702" s="1"/>
  <c r="M292"/>
  <c r="Q273"/>
  <c r="P273"/>
  <c r="O273"/>
  <c r="M271"/>
  <c r="M270"/>
  <c r="L270"/>
  <c r="I270" s="1"/>
  <c r="M269"/>
  <c r="M116" s="1"/>
  <c r="M266"/>
  <c r="J266" s="1"/>
  <c r="M265"/>
  <c r="J265" s="1"/>
  <c r="M264"/>
  <c r="J264" s="1"/>
  <c r="Q259"/>
  <c r="P259"/>
  <c r="M245"/>
  <c r="L245"/>
  <c r="O245" s="1"/>
  <c r="I245"/>
  <c r="M244"/>
  <c r="J244" s="1"/>
  <c r="L244"/>
  <c r="O244" s="1"/>
  <c r="M242"/>
  <c r="L242"/>
  <c r="O242" s="1"/>
  <c r="L240"/>
  <c r="O240" s="1"/>
  <c r="O239"/>
  <c r="M239"/>
  <c r="N239" s="1"/>
  <c r="I239"/>
  <c r="M238"/>
  <c r="J238"/>
  <c r="M237"/>
  <c r="J237" s="1"/>
  <c r="L237"/>
  <c r="O237" s="1"/>
  <c r="M236"/>
  <c r="L236"/>
  <c r="L234"/>
  <c r="O234" s="1"/>
  <c r="M233"/>
  <c r="L233"/>
  <c r="O233" s="1"/>
  <c r="O232"/>
  <c r="M232"/>
  <c r="M231"/>
  <c r="L231"/>
  <c r="O231" s="1"/>
  <c r="J231"/>
  <c r="M230"/>
  <c r="L230"/>
  <c r="O228"/>
  <c r="M228"/>
  <c r="J228"/>
  <c r="K228" s="1"/>
  <c r="M227"/>
  <c r="J227" s="1"/>
  <c r="L227"/>
  <c r="O227" s="1"/>
  <c r="O225"/>
  <c r="K225"/>
  <c r="J225"/>
  <c r="M224"/>
  <c r="M223"/>
  <c r="M222" s="1"/>
  <c r="L223"/>
  <c r="O223" s="1"/>
  <c r="M220"/>
  <c r="M218"/>
  <c r="J218" s="1"/>
  <c r="L218"/>
  <c r="I218" s="1"/>
  <c r="M217"/>
  <c r="M104" s="1"/>
  <c r="L217"/>
  <c r="O216"/>
  <c r="M216"/>
  <c r="I216"/>
  <c r="M215"/>
  <c r="L215"/>
  <c r="J215"/>
  <c r="M214"/>
  <c r="O211"/>
  <c r="M210"/>
  <c r="L209"/>
  <c r="M207"/>
  <c r="M193"/>
  <c r="J193" s="1"/>
  <c r="L193"/>
  <c r="I193" s="1"/>
  <c r="O191"/>
  <c r="I191"/>
  <c r="M189"/>
  <c r="O187"/>
  <c r="M187"/>
  <c r="N187" s="1"/>
  <c r="L186"/>
  <c r="L185"/>
  <c r="M183"/>
  <c r="M121" s="1"/>
  <c r="M182"/>
  <c r="L182"/>
  <c r="I182" s="1"/>
  <c r="M181"/>
  <c r="L181"/>
  <c r="O181" s="1"/>
  <c r="M180"/>
  <c r="M179" s="1"/>
  <c r="M178"/>
  <c r="M127" s="1"/>
  <c r="M126" s="1"/>
  <c r="L178"/>
  <c r="O178" s="1"/>
  <c r="O177"/>
  <c r="M177"/>
  <c r="N177" s="1"/>
  <c r="I177"/>
  <c r="M176"/>
  <c r="M175"/>
  <c r="M174"/>
  <c r="L172"/>
  <c r="O172" s="1"/>
  <c r="O171"/>
  <c r="M171"/>
  <c r="N171" s="1"/>
  <c r="J171"/>
  <c r="I171"/>
  <c r="M170"/>
  <c r="M169"/>
  <c r="M99" s="1"/>
  <c r="J99" s="1"/>
  <c r="J98" s="1"/>
  <c r="J21" s="1"/>
  <c r="AE21" s="1"/>
  <c r="M168"/>
  <c r="L168"/>
  <c r="J168"/>
  <c r="M165"/>
  <c r="M164"/>
  <c r="O163"/>
  <c r="N163"/>
  <c r="I163"/>
  <c r="K163" s="1"/>
  <c r="O162"/>
  <c r="M162"/>
  <c r="I162"/>
  <c r="M161"/>
  <c r="L161"/>
  <c r="O161" s="1"/>
  <c r="L158"/>
  <c r="N158" s="1"/>
  <c r="N157" s="1"/>
  <c r="J158"/>
  <c r="M157"/>
  <c r="J157"/>
  <c r="L156"/>
  <c r="O156" s="1"/>
  <c r="M153"/>
  <c r="M152"/>
  <c r="L152"/>
  <c r="I152" s="1"/>
  <c r="M151"/>
  <c r="L151"/>
  <c r="I151" s="1"/>
  <c r="R139"/>
  <c r="J628" s="1"/>
  <c r="J2053" s="1"/>
  <c r="M130"/>
  <c r="M128"/>
  <c r="M117"/>
  <c r="J117"/>
  <c r="T114"/>
  <c r="M113"/>
  <c r="J113" s="1"/>
  <c r="M107"/>
  <c r="M52" s="1"/>
  <c r="L105"/>
  <c r="I105" s="1"/>
  <c r="N102"/>
  <c r="O2139" s="1"/>
  <c r="M102"/>
  <c r="AE80"/>
  <c r="AA80"/>
  <c r="AC80" s="1"/>
  <c r="M80"/>
  <c r="P80" s="1"/>
  <c r="S80" s="1"/>
  <c r="L80"/>
  <c r="O80" s="1"/>
  <c r="K80"/>
  <c r="AE79"/>
  <c r="AD79"/>
  <c r="AC79"/>
  <c r="M79"/>
  <c r="P79" s="1"/>
  <c r="S79" s="1"/>
  <c r="L79"/>
  <c r="K79"/>
  <c r="AE78"/>
  <c r="AA78"/>
  <c r="O78"/>
  <c r="M78"/>
  <c r="P78" s="1"/>
  <c r="I78"/>
  <c r="K78" s="1"/>
  <c r="AB77"/>
  <c r="J77"/>
  <c r="J76" s="1"/>
  <c r="AF76"/>
  <c r="AE76"/>
  <c r="AD76"/>
  <c r="AC76"/>
  <c r="AB76"/>
  <c r="AA76"/>
  <c r="T75"/>
  <c r="AE71"/>
  <c r="AD71"/>
  <c r="S71"/>
  <c r="R71"/>
  <c r="Q71"/>
  <c r="N71"/>
  <c r="K71"/>
  <c r="S70"/>
  <c r="L70"/>
  <c r="O70" s="1"/>
  <c r="K70"/>
  <c r="AE69"/>
  <c r="S69"/>
  <c r="O69"/>
  <c r="Q69" s="1"/>
  <c r="N69"/>
  <c r="I69"/>
  <c r="AD69" s="1"/>
  <c r="AF69" s="1"/>
  <c r="AE68"/>
  <c r="S68"/>
  <c r="O68"/>
  <c r="R68" s="1"/>
  <c r="N68"/>
  <c r="I68"/>
  <c r="K68" s="1"/>
  <c r="AE67"/>
  <c r="S67"/>
  <c r="O67"/>
  <c r="Q67" s="1"/>
  <c r="N67"/>
  <c r="I67"/>
  <c r="AD67" s="1"/>
  <c r="AF67" s="1"/>
  <c r="AE66"/>
  <c r="S66"/>
  <c r="O66"/>
  <c r="Q66" s="1"/>
  <c r="N66"/>
  <c r="I66"/>
  <c r="AD66" s="1"/>
  <c r="AC65"/>
  <c r="AC64" s="1"/>
  <c r="AA65"/>
  <c r="AA64" s="1"/>
  <c r="L65"/>
  <c r="L64" s="1"/>
  <c r="J65"/>
  <c r="J64" s="1"/>
  <c r="AE63"/>
  <c r="AC63"/>
  <c r="S63"/>
  <c r="R63"/>
  <c r="Q63"/>
  <c r="N63"/>
  <c r="I63"/>
  <c r="AD63" s="1"/>
  <c r="AE62"/>
  <c r="AC62"/>
  <c r="S62"/>
  <c r="S61" s="1"/>
  <c r="R62"/>
  <c r="R61" s="1"/>
  <c r="Q62"/>
  <c r="Q61" s="1"/>
  <c r="N62"/>
  <c r="I62"/>
  <c r="K62" s="1"/>
  <c r="AB61"/>
  <c r="AA61"/>
  <c r="P61"/>
  <c r="O61"/>
  <c r="M61"/>
  <c r="L61"/>
  <c r="J61"/>
  <c r="AE60"/>
  <c r="AC60"/>
  <c r="Z60"/>
  <c r="S60"/>
  <c r="R60"/>
  <c r="Q60"/>
  <c r="N60"/>
  <c r="I60"/>
  <c r="AD60" s="1"/>
  <c r="AE59"/>
  <c r="AC59"/>
  <c r="Z59"/>
  <c r="Z58" s="1"/>
  <c r="S59"/>
  <c r="S58" s="1"/>
  <c r="R59"/>
  <c r="R58" s="1"/>
  <c r="Q59"/>
  <c r="Q58" s="1"/>
  <c r="N59"/>
  <c r="N58" s="1"/>
  <c r="I59"/>
  <c r="AD59" s="1"/>
  <c r="AE58"/>
  <c r="AC58"/>
  <c r="AB58"/>
  <c r="AA58"/>
  <c r="Y58"/>
  <c r="X58"/>
  <c r="W58"/>
  <c r="V58"/>
  <c r="U58"/>
  <c r="P58"/>
  <c r="O58"/>
  <c r="M58"/>
  <c r="L58"/>
  <c r="J58"/>
  <c r="AE57"/>
  <c r="AD57"/>
  <c r="Z57"/>
  <c r="Z56" s="1"/>
  <c r="Z39" s="1"/>
  <c r="S57"/>
  <c r="L57"/>
  <c r="O57" s="1"/>
  <c r="K57"/>
  <c r="AE56"/>
  <c r="X56"/>
  <c r="X39" s="1"/>
  <c r="S56"/>
  <c r="O56"/>
  <c r="Q56" s="1"/>
  <c r="N56"/>
  <c r="I56"/>
  <c r="K56" s="1"/>
  <c r="AC55"/>
  <c r="AA55"/>
  <c r="Z55"/>
  <c r="J55"/>
  <c r="Z54"/>
  <c r="T53"/>
  <c r="Q53"/>
  <c r="AE39"/>
  <c r="AE38" s="1"/>
  <c r="V39"/>
  <c r="S39"/>
  <c r="Q39"/>
  <c r="Q38" s="1"/>
  <c r="AC38"/>
  <c r="AB38"/>
  <c r="AA38"/>
  <c r="S38"/>
  <c r="P38"/>
  <c r="O38"/>
  <c r="M38"/>
  <c r="V38" s="1"/>
  <c r="J38"/>
  <c r="X37"/>
  <c r="X36" s="1"/>
  <c r="Q37"/>
  <c r="Q36" s="1"/>
  <c r="M37"/>
  <c r="V37" s="1"/>
  <c r="AC36"/>
  <c r="AB36"/>
  <c r="AA36"/>
  <c r="P36"/>
  <c r="O36"/>
  <c r="M36"/>
  <c r="V36" s="1"/>
  <c r="Z35"/>
  <c r="Z34" s="1"/>
  <c r="Y35"/>
  <c r="Y34" s="1"/>
  <c r="X35"/>
  <c r="X34" s="1"/>
  <c r="Q35"/>
  <c r="Q34" s="1"/>
  <c r="AC34"/>
  <c r="AB34"/>
  <c r="AA34"/>
  <c r="P34"/>
  <c r="O34"/>
  <c r="Z33"/>
  <c r="Z29" s="1"/>
  <c r="Y33"/>
  <c r="Y29" s="1"/>
  <c r="X33"/>
  <c r="X29" s="1"/>
  <c r="V33"/>
  <c r="U33"/>
  <c r="S33"/>
  <c r="R33"/>
  <c r="Q33"/>
  <c r="N33"/>
  <c r="W33" s="1"/>
  <c r="J33"/>
  <c r="AE33" s="1"/>
  <c r="I33"/>
  <c r="AD33" s="1"/>
  <c r="Z32"/>
  <c r="Y32"/>
  <c r="X32"/>
  <c r="V32"/>
  <c r="U32"/>
  <c r="S32"/>
  <c r="R32"/>
  <c r="Q32"/>
  <c r="N32"/>
  <c r="W32" s="1"/>
  <c r="J32"/>
  <c r="AE32" s="1"/>
  <c r="I32"/>
  <c r="AD32" s="1"/>
  <c r="Q31"/>
  <c r="N31"/>
  <c r="J31"/>
  <c r="I31"/>
  <c r="Z30"/>
  <c r="Y30"/>
  <c r="X30"/>
  <c r="Q30"/>
  <c r="Q29"/>
  <c r="AE28"/>
  <c r="Y28"/>
  <c r="Z28" s="1"/>
  <c r="R28"/>
  <c r="T28" s="1"/>
  <c r="Q28"/>
  <c r="N28"/>
  <c r="I28"/>
  <c r="AD28" s="1"/>
  <c r="AE27"/>
  <c r="Y27"/>
  <c r="Z27" s="1"/>
  <c r="Q27"/>
  <c r="Y26"/>
  <c r="X26"/>
  <c r="O26"/>
  <c r="Q25"/>
  <c r="N25"/>
  <c r="J25"/>
  <c r="I25"/>
  <c r="Q24"/>
  <c r="N24"/>
  <c r="J24"/>
  <c r="I24"/>
  <c r="X23"/>
  <c r="Z23" s="1"/>
  <c r="Q23"/>
  <c r="AE22"/>
  <c r="Y22"/>
  <c r="X22"/>
  <c r="V22"/>
  <c r="S22"/>
  <c r="Q22"/>
  <c r="Y21"/>
  <c r="X21"/>
  <c r="Q21"/>
  <c r="X20"/>
  <c r="Z20" s="1"/>
  <c r="Q20"/>
  <c r="AC19"/>
  <c r="AC18" s="1"/>
  <c r="AB19"/>
  <c r="AA19"/>
  <c r="Y19"/>
  <c r="X19"/>
  <c r="P19"/>
  <c r="Y18"/>
  <c r="X18"/>
  <c r="Z18" s="1"/>
  <c r="I1576" l="1"/>
  <c r="K1576" s="1"/>
  <c r="Z38"/>
  <c r="AE61"/>
  <c r="M97"/>
  <c r="J97" s="1"/>
  <c r="J96" s="1"/>
  <c r="J20" s="1"/>
  <c r="AE20" s="1"/>
  <c r="M114"/>
  <c r="AA18"/>
  <c r="I436"/>
  <c r="N170"/>
  <c r="I633"/>
  <c r="N855"/>
  <c r="N962"/>
  <c r="I999"/>
  <c r="I996" s="1"/>
  <c r="N1029"/>
  <c r="L1064"/>
  <c r="I1074"/>
  <c r="M1291"/>
  <c r="I1583"/>
  <c r="AE77"/>
  <c r="AB18"/>
  <c r="I55"/>
  <c r="M77"/>
  <c r="M76" s="1"/>
  <c r="L77"/>
  <c r="L76" s="1"/>
  <c r="L154"/>
  <c r="I154" s="1"/>
  <c r="I242"/>
  <c r="I241" s="1"/>
  <c r="N2102"/>
  <c r="N390"/>
  <c r="N585"/>
  <c r="N599"/>
  <c r="N672"/>
  <c r="N216" s="1"/>
  <c r="N846"/>
  <c r="M1064"/>
  <c r="N1074"/>
  <c r="N1311"/>
  <c r="N1479"/>
  <c r="M120"/>
  <c r="M219"/>
  <c r="M225"/>
  <c r="M159"/>
  <c r="N1638"/>
  <c r="J186"/>
  <c r="M125"/>
  <c r="M124" s="1"/>
  <c r="M35" s="1"/>
  <c r="J192"/>
  <c r="J115" s="1"/>
  <c r="M115"/>
  <c r="I131"/>
  <c r="I130" s="1"/>
  <c r="L130"/>
  <c r="L39" s="1"/>
  <c r="N186"/>
  <c r="M2371"/>
  <c r="M206"/>
  <c r="I388"/>
  <c r="K24"/>
  <c r="X38"/>
  <c r="L55"/>
  <c r="L54" s="1"/>
  <c r="AF60"/>
  <c r="L101"/>
  <c r="L127"/>
  <c r="L126" s="1"/>
  <c r="L157"/>
  <c r="I178"/>
  <c r="I127" s="1"/>
  <c r="I126" s="1"/>
  <c r="M190"/>
  <c r="M208"/>
  <c r="M111" s="1"/>
  <c r="N1044"/>
  <c r="N1446"/>
  <c r="I1332"/>
  <c r="N1407"/>
  <c r="L153"/>
  <c r="O153" s="1"/>
  <c r="N1198"/>
  <c r="N1253"/>
  <c r="N1515"/>
  <c r="I1524"/>
  <c r="T63"/>
  <c r="I65"/>
  <c r="I64" s="1"/>
  <c r="S65"/>
  <c r="S64" s="1"/>
  <c r="AA77"/>
  <c r="L229"/>
  <c r="N1083"/>
  <c r="I1105"/>
  <c r="I1388"/>
  <c r="K1388" s="1"/>
  <c r="N61"/>
  <c r="AC61"/>
  <c r="O270"/>
  <c r="I302"/>
  <c r="M401"/>
  <c r="N164"/>
  <c r="L486"/>
  <c r="I483"/>
  <c r="N581"/>
  <c r="N2060" s="1"/>
  <c r="N626"/>
  <c r="N2051" s="1"/>
  <c r="I667"/>
  <c r="I853"/>
  <c r="L2133"/>
  <c r="N946"/>
  <c r="N999"/>
  <c r="N1004"/>
  <c r="N1025"/>
  <c r="N1032"/>
  <c r="L1035"/>
  <c r="N1035" s="1"/>
  <c r="N1077"/>
  <c r="I1107"/>
  <c r="N1114"/>
  <c r="N1155"/>
  <c r="M1218"/>
  <c r="N1222"/>
  <c r="I1302"/>
  <c r="N1328"/>
  <c r="I1330"/>
  <c r="I1390"/>
  <c r="N1438"/>
  <c r="N1513"/>
  <c r="N1543"/>
  <c r="N1545"/>
  <c r="N1547"/>
  <c r="M1571"/>
  <c r="M1632"/>
  <c r="N1641"/>
  <c r="J54"/>
  <c r="N236"/>
  <c r="N270"/>
  <c r="N101" s="1"/>
  <c r="N100" s="1"/>
  <c r="O2326" s="1"/>
  <c r="P2326" s="1"/>
  <c r="I672"/>
  <c r="I959"/>
  <c r="I1088"/>
  <c r="L1104"/>
  <c r="I1336"/>
  <c r="I1520"/>
  <c r="I294"/>
  <c r="I1703" s="1"/>
  <c r="N294"/>
  <c r="N1703" s="1"/>
  <c r="AA54"/>
  <c r="N182"/>
  <c r="L830"/>
  <c r="N826"/>
  <c r="N848"/>
  <c r="N853"/>
  <c r="I943"/>
  <c r="I946"/>
  <c r="L987"/>
  <c r="N987" s="1"/>
  <c r="M262"/>
  <c r="J262" s="1"/>
  <c r="J110" s="1"/>
  <c r="I1029"/>
  <c r="L1080"/>
  <c r="N1105"/>
  <c r="I1114"/>
  <c r="N1132"/>
  <c r="I1158"/>
  <c r="K1158" s="1"/>
  <c r="N1160"/>
  <c r="I1297"/>
  <c r="I1409"/>
  <c r="I1443"/>
  <c r="N1506"/>
  <c r="N1583"/>
  <c r="L1588"/>
  <c r="M1660"/>
  <c r="M2125"/>
  <c r="M2326"/>
  <c r="Z37"/>
  <c r="Z36" s="1"/>
  <c r="T71"/>
  <c r="K193"/>
  <c r="N440"/>
  <c r="N442"/>
  <c r="I502"/>
  <c r="I1821" s="1"/>
  <c r="I509"/>
  <c r="I1828" s="1"/>
  <c r="I556"/>
  <c r="I1027"/>
  <c r="N1308"/>
  <c r="N1386"/>
  <c r="I1586"/>
  <c r="K31"/>
  <c r="AF32"/>
  <c r="M119"/>
  <c r="M29" s="1"/>
  <c r="S29" s="1"/>
  <c r="N209"/>
  <c r="M213"/>
  <c r="N217"/>
  <c r="N104" s="1"/>
  <c r="I397"/>
  <c r="N2288"/>
  <c r="L449"/>
  <c r="N552"/>
  <c r="M651"/>
  <c r="I626"/>
  <c r="I2051" s="1"/>
  <c r="M861"/>
  <c r="N952"/>
  <c r="L996"/>
  <c r="M1372"/>
  <c r="Z21"/>
  <c r="S55"/>
  <c r="S54" s="1"/>
  <c r="AF57"/>
  <c r="T68"/>
  <c r="AF71"/>
  <c r="AC78"/>
  <c r="AD80"/>
  <c r="AF80" s="1"/>
  <c r="I158"/>
  <c r="K171"/>
  <c r="I172"/>
  <c r="N173"/>
  <c r="N193"/>
  <c r="J223"/>
  <c r="I234"/>
  <c r="K234" s="1"/>
  <c r="N242"/>
  <c r="N241" s="1"/>
  <c r="N444"/>
  <c r="N446"/>
  <c r="N477"/>
  <c r="N480"/>
  <c r="M520"/>
  <c r="N502"/>
  <c r="N1821" s="1"/>
  <c r="N509"/>
  <c r="N1828" s="1"/>
  <c r="N512"/>
  <c r="N181" s="1"/>
  <c r="N515"/>
  <c r="J579"/>
  <c r="I581"/>
  <c r="I2060" s="1"/>
  <c r="I817"/>
  <c r="N821"/>
  <c r="L918"/>
  <c r="N954"/>
  <c r="N989"/>
  <c r="N1038"/>
  <c r="N1085"/>
  <c r="N1091"/>
  <c r="M1104"/>
  <c r="I1160"/>
  <c r="N1195"/>
  <c r="I1260"/>
  <c r="N1262"/>
  <c r="N1272"/>
  <c r="N1297"/>
  <c r="N1302"/>
  <c r="N1306"/>
  <c r="I1308"/>
  <c r="N1342"/>
  <c r="I1386"/>
  <c r="N1393"/>
  <c r="N1415"/>
  <c r="N1417"/>
  <c r="M1495"/>
  <c r="I1510"/>
  <c r="N1550"/>
  <c r="M1588"/>
  <c r="N1588" s="1"/>
  <c r="I1629"/>
  <c r="N1668"/>
  <c r="N1674"/>
  <c r="M1802"/>
  <c r="U39"/>
  <c r="L38"/>
  <c r="U38" s="1"/>
  <c r="P18"/>
  <c r="I58"/>
  <c r="AC54"/>
  <c r="I61"/>
  <c r="Q26"/>
  <c r="Q19" s="1"/>
  <c r="Q18" s="1"/>
  <c r="O19"/>
  <c r="O18" s="1"/>
  <c r="K77"/>
  <c r="K76" s="1"/>
  <c r="L166"/>
  <c r="L222"/>
  <c r="O230"/>
  <c r="O229" s="1"/>
  <c r="J270"/>
  <c r="J101" s="1"/>
  <c r="I330"/>
  <c r="I333" s="1"/>
  <c r="N388"/>
  <c r="I390"/>
  <c r="I2390"/>
  <c r="I477"/>
  <c r="N543"/>
  <c r="L2175"/>
  <c r="Z19"/>
  <c r="T33"/>
  <c r="K55"/>
  <c r="T59"/>
  <c r="T60"/>
  <c r="N79"/>
  <c r="M101"/>
  <c r="L104"/>
  <c r="L103" s="1"/>
  <c r="L23" s="1"/>
  <c r="U23" s="1"/>
  <c r="I164"/>
  <c r="N168"/>
  <c r="K172"/>
  <c r="I173"/>
  <c r="N175"/>
  <c r="N214"/>
  <c r="M229"/>
  <c r="N238"/>
  <c r="N501"/>
  <c r="N1820" s="1"/>
  <c r="I506"/>
  <c r="I1825" s="1"/>
  <c r="N510"/>
  <c r="N1829" s="1"/>
  <c r="I518"/>
  <c r="I2354" s="1"/>
  <c r="M562"/>
  <c r="I617"/>
  <c r="I1772" s="1"/>
  <c r="I627"/>
  <c r="I2052" s="1"/>
  <c r="L680"/>
  <c r="M722"/>
  <c r="I911"/>
  <c r="I918" s="1"/>
  <c r="M267"/>
  <c r="N267" s="1"/>
  <c r="N993"/>
  <c r="M1022"/>
  <c r="N1027"/>
  <c r="N1065"/>
  <c r="N1067"/>
  <c r="N1069"/>
  <c r="N1107"/>
  <c r="N1127"/>
  <c r="I1151"/>
  <c r="K1151" s="1"/>
  <c r="N1188"/>
  <c r="N2121" s="1"/>
  <c r="I1195"/>
  <c r="L1219"/>
  <c r="N1219" s="1"/>
  <c r="N1220"/>
  <c r="N1843" s="1"/>
  <c r="N1270"/>
  <c r="I1306"/>
  <c r="I1334"/>
  <c r="K1334" s="1"/>
  <c r="N1359"/>
  <c r="N1373"/>
  <c r="L261"/>
  <c r="I261" s="1"/>
  <c r="N1377"/>
  <c r="L267"/>
  <c r="I267" s="1"/>
  <c r="N1381"/>
  <c r="M1383"/>
  <c r="M1406"/>
  <c r="N1409"/>
  <c r="I1413"/>
  <c r="I2114" s="1"/>
  <c r="I2115" s="1"/>
  <c r="I1468"/>
  <c r="K1468" s="1"/>
  <c r="N1496"/>
  <c r="N1498"/>
  <c r="N1503"/>
  <c r="N1510"/>
  <c r="M1542"/>
  <c r="N1556"/>
  <c r="I1581"/>
  <c r="N1594"/>
  <c r="L1632"/>
  <c r="N1632" s="1"/>
  <c r="I1638"/>
  <c r="N1661"/>
  <c r="N1665"/>
  <c r="N1687"/>
  <c r="L2102"/>
  <c r="N810"/>
  <c r="N858"/>
  <c r="M982"/>
  <c r="I1041"/>
  <c r="N1064"/>
  <c r="L1150"/>
  <c r="M1177"/>
  <c r="N1192"/>
  <c r="I1198"/>
  <c r="N1344"/>
  <c r="I1346"/>
  <c r="I1438"/>
  <c r="I1506"/>
  <c r="N1520"/>
  <c r="L1571"/>
  <c r="N1571" s="1"/>
  <c r="N1625"/>
  <c r="Z22"/>
  <c r="Z26"/>
  <c r="AF28"/>
  <c r="T32"/>
  <c r="T62"/>
  <c r="T61" s="1"/>
  <c r="AF63"/>
  <c r="I77"/>
  <c r="I76" s="1"/>
  <c r="L118"/>
  <c r="L129"/>
  <c r="N152"/>
  <c r="N153"/>
  <c r="I168"/>
  <c r="K168" s="1"/>
  <c r="I169"/>
  <c r="L213"/>
  <c r="I213" s="1"/>
  <c r="I224"/>
  <c r="J226"/>
  <c r="L241"/>
  <c r="N245"/>
  <c r="M305"/>
  <c r="N2390"/>
  <c r="M486"/>
  <c r="N483"/>
  <c r="I501"/>
  <c r="I1820" s="1"/>
  <c r="N506"/>
  <c r="N1825" s="1"/>
  <c r="I510"/>
  <c r="I1829" s="1"/>
  <c r="N518"/>
  <c r="N2354" s="1"/>
  <c r="L616"/>
  <c r="L207" s="1"/>
  <c r="I207" s="1"/>
  <c r="N617"/>
  <c r="N1772" s="1"/>
  <c r="N627"/>
  <c r="N2052" s="1"/>
  <c r="L755"/>
  <c r="N782"/>
  <c r="N787" s="1"/>
  <c r="M830"/>
  <c r="I826"/>
  <c r="L861"/>
  <c r="I882"/>
  <c r="I885" s="1"/>
  <c r="N911"/>
  <c r="N918" s="1"/>
  <c r="I997"/>
  <c r="K997" s="1"/>
  <c r="L1022"/>
  <c r="I1025"/>
  <c r="N1036"/>
  <c r="I1038"/>
  <c r="N1072"/>
  <c r="N1130"/>
  <c r="N1136"/>
  <c r="M1150"/>
  <c r="N1182"/>
  <c r="I1188"/>
  <c r="I2121" s="1"/>
  <c r="N2326"/>
  <c r="I1220"/>
  <c r="N1233"/>
  <c r="N1260"/>
  <c r="I1266"/>
  <c r="N1299"/>
  <c r="I1311"/>
  <c r="M1327"/>
  <c r="L1412"/>
  <c r="L1406" s="1"/>
  <c r="N1413"/>
  <c r="N2114" s="1"/>
  <c r="N2115" s="1"/>
  <c r="N1461"/>
  <c r="I1513"/>
  <c r="I1509" s="1"/>
  <c r="I1545"/>
  <c r="I1550"/>
  <c r="N1589"/>
  <c r="N1591"/>
  <c r="L1614"/>
  <c r="N1614" s="1"/>
  <c r="N1621"/>
  <c r="N1623"/>
  <c r="I1668"/>
  <c r="N1670"/>
  <c r="M1677"/>
  <c r="I1684"/>
  <c r="L1941"/>
  <c r="N2139"/>
  <c r="M2175"/>
  <c r="N1682"/>
  <c r="L1660"/>
  <c r="N1660" s="1"/>
  <c r="N1572"/>
  <c r="L263"/>
  <c r="I263" s="1"/>
  <c r="L1509"/>
  <c r="M1509"/>
  <c r="N1509" s="1"/>
  <c r="L1460"/>
  <c r="N1460" s="1"/>
  <c r="I1441"/>
  <c r="N1435"/>
  <c r="M1432"/>
  <c r="N1432" s="1"/>
  <c r="N1941"/>
  <c r="M261"/>
  <c r="M109" s="1"/>
  <c r="I1384"/>
  <c r="M2032"/>
  <c r="N1339"/>
  <c r="I1339"/>
  <c r="L1327"/>
  <c r="N1330"/>
  <c r="M1305"/>
  <c r="L1305"/>
  <c r="J269"/>
  <c r="J116" s="1"/>
  <c r="M1269"/>
  <c r="I1270"/>
  <c r="M1252"/>
  <c r="L109"/>
  <c r="I109" s="1"/>
  <c r="M260"/>
  <c r="P260" s="1"/>
  <c r="N271"/>
  <c r="I271"/>
  <c r="I102" s="1"/>
  <c r="L102"/>
  <c r="L2326"/>
  <c r="I2326"/>
  <c r="I101"/>
  <c r="I100" s="1"/>
  <c r="M98"/>
  <c r="M21" s="1"/>
  <c r="V21" s="1"/>
  <c r="I1180"/>
  <c r="L1121"/>
  <c r="N1122"/>
  <c r="M1121"/>
  <c r="N1104"/>
  <c r="I1112"/>
  <c r="N1081"/>
  <c r="M1080"/>
  <c r="I1065"/>
  <c r="N1022"/>
  <c r="I1023"/>
  <c r="N997"/>
  <c r="M1941"/>
  <c r="I985"/>
  <c r="N957"/>
  <c r="N949" s="1"/>
  <c r="O261"/>
  <c r="M949"/>
  <c r="M1690" s="1"/>
  <c r="M2133"/>
  <c r="M935"/>
  <c r="N943"/>
  <c r="K59"/>
  <c r="AC77"/>
  <c r="N131"/>
  <c r="N130" s="1"/>
  <c r="O152"/>
  <c r="P156"/>
  <c r="Q156" s="1"/>
  <c r="P161"/>
  <c r="P165"/>
  <c r="L174"/>
  <c r="P175"/>
  <c r="P180"/>
  <c r="I186"/>
  <c r="I209"/>
  <c r="N215"/>
  <c r="N213" s="1"/>
  <c r="P217"/>
  <c r="P225"/>
  <c r="M226"/>
  <c r="P231"/>
  <c r="Q231" s="1"/>
  <c r="P232"/>
  <c r="Q232" s="1"/>
  <c r="P236"/>
  <c r="I238"/>
  <c r="K238" s="1"/>
  <c r="P238"/>
  <c r="M241"/>
  <c r="P262"/>
  <c r="P263"/>
  <c r="P270"/>
  <c r="Q270" s="1"/>
  <c r="M415"/>
  <c r="N750"/>
  <c r="I1069"/>
  <c r="I1109"/>
  <c r="I1155"/>
  <c r="I1479"/>
  <c r="I1515"/>
  <c r="I1518"/>
  <c r="I1591"/>
  <c r="I1682"/>
  <c r="M2263"/>
  <c r="M2288"/>
  <c r="L2390"/>
  <c r="AF79"/>
  <c r="P168"/>
  <c r="N172"/>
  <c r="P176"/>
  <c r="P185"/>
  <c r="P187"/>
  <c r="Q187" s="1"/>
  <c r="P189"/>
  <c r="P191"/>
  <c r="Q191" s="1"/>
  <c r="P208"/>
  <c r="P216"/>
  <c r="Q216" s="1"/>
  <c r="P230"/>
  <c r="P242"/>
  <c r="P241" s="1"/>
  <c r="P245"/>
  <c r="Q245" s="1"/>
  <c r="I2288"/>
  <c r="N436"/>
  <c r="N469"/>
  <c r="L562"/>
  <c r="N675"/>
  <c r="N882"/>
  <c r="N885" s="1"/>
  <c r="I1004"/>
  <c r="I1032"/>
  <c r="I1036"/>
  <c r="I1067"/>
  <c r="I1136"/>
  <c r="I1589"/>
  <c r="I1625"/>
  <c r="M2390"/>
  <c r="K25"/>
  <c r="N78"/>
  <c r="L128"/>
  <c r="P152"/>
  <c r="I156"/>
  <c r="I161"/>
  <c r="P162"/>
  <c r="Q162" s="1"/>
  <c r="I165"/>
  <c r="I129" s="1"/>
  <c r="I167"/>
  <c r="P169"/>
  <c r="P172"/>
  <c r="Q172" s="1"/>
  <c r="P173"/>
  <c r="I175"/>
  <c r="I174" s="1"/>
  <c r="N176"/>
  <c r="P178"/>
  <c r="Q178" s="1"/>
  <c r="P181"/>
  <c r="Q181" s="1"/>
  <c r="P182"/>
  <c r="N185"/>
  <c r="N184" s="1"/>
  <c r="M188"/>
  <c r="P192"/>
  <c r="P193"/>
  <c r="S211"/>
  <c r="I215"/>
  <c r="I217"/>
  <c r="I104" s="1"/>
  <c r="I103" s="1"/>
  <c r="N218"/>
  <c r="I223"/>
  <c r="N223"/>
  <c r="N222" s="1"/>
  <c r="N230"/>
  <c r="N234"/>
  <c r="I236"/>
  <c r="P266"/>
  <c r="N330"/>
  <c r="N333" s="1"/>
  <c r="O386"/>
  <c r="N394"/>
  <c r="N397"/>
  <c r="I442"/>
  <c r="I446"/>
  <c r="N556"/>
  <c r="K576"/>
  <c r="K1769" s="1"/>
  <c r="I750"/>
  <c r="I755" s="1"/>
  <c r="I782"/>
  <c r="I787" s="1"/>
  <c r="I1262"/>
  <c r="I1314"/>
  <c r="I1305" s="1"/>
  <c r="M2102"/>
  <c r="K33"/>
  <c r="P160"/>
  <c r="P164"/>
  <c r="P177"/>
  <c r="Q177" s="1"/>
  <c r="M184"/>
  <c r="P190"/>
  <c r="P211"/>
  <c r="Q211" s="1"/>
  <c r="P214"/>
  <c r="P215"/>
  <c r="K218"/>
  <c r="P220"/>
  <c r="P223"/>
  <c r="Q223" s="1"/>
  <c r="P224"/>
  <c r="P228"/>
  <c r="Q228" s="1"/>
  <c r="I230"/>
  <c r="I231"/>
  <c r="N231"/>
  <c r="L235"/>
  <c r="O238"/>
  <c r="M243"/>
  <c r="P271"/>
  <c r="O506"/>
  <c r="I599"/>
  <c r="N815"/>
  <c r="I1091"/>
  <c r="I1132"/>
  <c r="I1163"/>
  <c r="I1182"/>
  <c r="I1349"/>
  <c r="I1359"/>
  <c r="I1407"/>
  <c r="I1547"/>
  <c r="I1674"/>
  <c r="M1874"/>
  <c r="M2054"/>
  <c r="AF66"/>
  <c r="M167"/>
  <c r="N167" s="1"/>
  <c r="M449"/>
  <c r="J415"/>
  <c r="J189"/>
  <c r="AF59"/>
  <c r="AF58" s="1"/>
  <c r="AD58"/>
  <c r="Q236"/>
  <c r="O243"/>
  <c r="AF33"/>
  <c r="Q78"/>
  <c r="Q161"/>
  <c r="Q165"/>
  <c r="Q57"/>
  <c r="Q55" s="1"/>
  <c r="Q54" s="1"/>
  <c r="R57"/>
  <c r="T57" s="1"/>
  <c r="O55"/>
  <c r="O54" s="1"/>
  <c r="Q80"/>
  <c r="R80"/>
  <c r="T80" s="1"/>
  <c r="O226"/>
  <c r="Q242"/>
  <c r="Q241" s="1"/>
  <c r="O241"/>
  <c r="Q225"/>
  <c r="O65"/>
  <c r="O64" s="1"/>
  <c r="Q70"/>
  <c r="R70"/>
  <c r="T70" s="1"/>
  <c r="P77"/>
  <c r="P76" s="1"/>
  <c r="S78"/>
  <c r="S77" s="1"/>
  <c r="S76" s="1"/>
  <c r="V35"/>
  <c r="S35"/>
  <c r="S34" s="1"/>
  <c r="M34"/>
  <c r="V34" s="1"/>
  <c r="Q169"/>
  <c r="P213"/>
  <c r="Q238"/>
  <c r="N562"/>
  <c r="V29"/>
  <c r="S37"/>
  <c r="S36" s="1"/>
  <c r="N39"/>
  <c r="N57"/>
  <c r="N55" s="1"/>
  <c r="N54" s="1"/>
  <c r="AD62"/>
  <c r="K63"/>
  <c r="K61" s="1"/>
  <c r="Q68"/>
  <c r="AD68"/>
  <c r="AF68" s="1"/>
  <c r="K69"/>
  <c r="R69"/>
  <c r="T69" s="1"/>
  <c r="N70"/>
  <c r="N65" s="1"/>
  <c r="N64" s="1"/>
  <c r="AD78"/>
  <c r="N80"/>
  <c r="N77" s="1"/>
  <c r="N76" s="1"/>
  <c r="O151"/>
  <c r="N156"/>
  <c r="K156" s="1"/>
  <c r="J161"/>
  <c r="N161"/>
  <c r="N162"/>
  <c r="P163"/>
  <c r="Q163" s="1"/>
  <c r="O164"/>
  <c r="N165"/>
  <c r="O168"/>
  <c r="N169"/>
  <c r="I170"/>
  <c r="O173"/>
  <c r="Q173" s="1"/>
  <c r="O176"/>
  <c r="Q176" s="1"/>
  <c r="N178"/>
  <c r="N127" s="1"/>
  <c r="N126" s="1"/>
  <c r="I185"/>
  <c r="P186"/>
  <c r="P184" s="1"/>
  <c r="N191"/>
  <c r="I210"/>
  <c r="O217"/>
  <c r="O224"/>
  <c r="Q224" s="1"/>
  <c r="N227"/>
  <c r="N233"/>
  <c r="O236"/>
  <c r="O235" s="1"/>
  <c r="N237"/>
  <c r="N240"/>
  <c r="N244"/>
  <c r="O263"/>
  <c r="O267"/>
  <c r="O271"/>
  <c r="J295"/>
  <c r="J296"/>
  <c r="J297"/>
  <c r="J298"/>
  <c r="J299"/>
  <c r="J303"/>
  <c r="L371"/>
  <c r="J372"/>
  <c r="J373"/>
  <c r="K373" s="1"/>
  <c r="J374"/>
  <c r="J375"/>
  <c r="J376"/>
  <c r="J377"/>
  <c r="J378"/>
  <c r="J379"/>
  <c r="J380"/>
  <c r="J1716" s="1"/>
  <c r="J391"/>
  <c r="J392"/>
  <c r="K392" s="1"/>
  <c r="J393"/>
  <c r="K393" s="1"/>
  <c r="J398"/>
  <c r="J399"/>
  <c r="N415"/>
  <c r="I440"/>
  <c r="I444"/>
  <c r="K444" s="1"/>
  <c r="K445"/>
  <c r="K2304" s="1"/>
  <c r="J478"/>
  <c r="J479"/>
  <c r="J484"/>
  <c r="O499"/>
  <c r="J503"/>
  <c r="J1822" s="1"/>
  <c r="I504"/>
  <c r="N504"/>
  <c r="N1823" s="1"/>
  <c r="J507"/>
  <c r="O508"/>
  <c r="J511"/>
  <c r="J1830" s="1"/>
  <c r="I545"/>
  <c r="I552"/>
  <c r="J558"/>
  <c r="K558" s="1"/>
  <c r="J559"/>
  <c r="K559" s="1"/>
  <c r="J560"/>
  <c r="K560" s="1"/>
  <c r="J577"/>
  <c r="J578"/>
  <c r="J1771" s="1"/>
  <c r="J582"/>
  <c r="J583"/>
  <c r="J584"/>
  <c r="I585"/>
  <c r="L590"/>
  <c r="J591"/>
  <c r="J592"/>
  <c r="J593"/>
  <c r="J594"/>
  <c r="J595"/>
  <c r="J596"/>
  <c r="J2279" s="1"/>
  <c r="M602"/>
  <c r="I623"/>
  <c r="N623"/>
  <c r="I630"/>
  <c r="I643"/>
  <c r="N667"/>
  <c r="N670"/>
  <c r="J1685"/>
  <c r="O1685" s="1"/>
  <c r="J1683"/>
  <c r="O1683" s="1"/>
  <c r="J1681"/>
  <c r="O1681" s="1"/>
  <c r="J1679"/>
  <c r="O1679" s="1"/>
  <c r="J1675"/>
  <c r="O1675" s="1"/>
  <c r="J1673"/>
  <c r="K1673" s="1"/>
  <c r="J1642"/>
  <c r="O1642" s="1"/>
  <c r="J1640"/>
  <c r="O1640" s="1"/>
  <c r="J1630"/>
  <c r="O1630" s="1"/>
  <c r="J1628"/>
  <c r="O1628" s="1"/>
  <c r="J1599"/>
  <c r="O1599" s="1"/>
  <c r="J1688"/>
  <c r="O1688" s="1"/>
  <c r="J1686"/>
  <c r="J1676"/>
  <c r="O1676" s="1"/>
  <c r="J1666"/>
  <c r="O1666" s="1"/>
  <c r="J1664"/>
  <c r="O1664" s="1"/>
  <c r="J1662"/>
  <c r="O1662" s="1"/>
  <c r="J1631"/>
  <c r="O1631" s="1"/>
  <c r="J1619"/>
  <c r="O1619" s="1"/>
  <c r="J1671"/>
  <c r="O1671" s="1"/>
  <c r="J1669"/>
  <c r="O1669" s="1"/>
  <c r="J1667"/>
  <c r="O1667" s="1"/>
  <c r="J1636"/>
  <c r="O1636" s="1"/>
  <c r="J1634"/>
  <c r="O1634" s="1"/>
  <c r="J1626"/>
  <c r="O1626" s="1"/>
  <c r="J1624"/>
  <c r="O1624" s="1"/>
  <c r="J1622"/>
  <c r="O1622" s="1"/>
  <c r="J1620"/>
  <c r="O1620" s="1"/>
  <c r="J1616"/>
  <c r="O1616" s="1"/>
  <c r="J1595"/>
  <c r="O1595" s="1"/>
  <c r="J1593"/>
  <c r="O1593" s="1"/>
  <c r="J1672"/>
  <c r="O1672" s="1"/>
  <c r="J1639"/>
  <c r="O1639" s="1"/>
  <c r="J1637"/>
  <c r="O1637" s="1"/>
  <c r="J1627"/>
  <c r="O1627" s="1"/>
  <c r="J1617"/>
  <c r="O1617" s="1"/>
  <c r="J1598"/>
  <c r="O1598" s="1"/>
  <c r="J1596"/>
  <c r="K1596" s="1"/>
  <c r="J1587"/>
  <c r="O1587" s="1"/>
  <c r="J1579"/>
  <c r="O1579" s="1"/>
  <c r="J1577"/>
  <c r="O1577" s="1"/>
  <c r="J1573"/>
  <c r="O1573" s="1"/>
  <c r="J1558"/>
  <c r="O1558" s="1"/>
  <c r="J1548"/>
  <c r="O1548" s="1"/>
  <c r="J1546"/>
  <c r="O1546" s="1"/>
  <c r="J1544"/>
  <c r="O1544" s="1"/>
  <c r="J1525"/>
  <c r="O1525" s="1"/>
  <c r="J1523"/>
  <c r="O1523" s="1"/>
  <c r="J1511"/>
  <c r="O1511" s="1"/>
  <c r="J1507"/>
  <c r="O1507" s="1"/>
  <c r="J1505"/>
  <c r="O1505" s="1"/>
  <c r="J1500"/>
  <c r="O1500" s="1"/>
  <c r="J1477"/>
  <c r="K1477" s="1"/>
  <c r="J1471"/>
  <c r="O1471" s="1"/>
  <c r="J1469"/>
  <c r="O1469" s="1"/>
  <c r="J1465"/>
  <c r="O1465" s="1"/>
  <c r="J1448"/>
  <c r="O1448" s="1"/>
  <c r="J1436"/>
  <c r="O1436" s="1"/>
  <c r="J1434"/>
  <c r="O1434" s="1"/>
  <c r="J1419"/>
  <c r="O1419" s="1"/>
  <c r="J1387"/>
  <c r="O1387" s="1"/>
  <c r="J1385"/>
  <c r="O1385" s="1"/>
  <c r="J1360"/>
  <c r="O1360" s="1"/>
  <c r="J1358"/>
  <c r="O1358" s="1"/>
  <c r="J1356"/>
  <c r="O1356" s="1"/>
  <c r="J1309"/>
  <c r="O1309" s="1"/>
  <c r="J1307"/>
  <c r="O1307" s="1"/>
  <c r="J1300"/>
  <c r="O1300" s="1"/>
  <c r="J1298"/>
  <c r="O1298" s="1"/>
  <c r="J1296"/>
  <c r="O1296" s="1"/>
  <c r="J1278"/>
  <c r="O1278" s="1"/>
  <c r="J1276"/>
  <c r="O1276" s="1"/>
  <c r="J1274"/>
  <c r="J1263"/>
  <c r="O1263" s="1"/>
  <c r="J1261"/>
  <c r="O1261" s="1"/>
  <c r="J1259"/>
  <c r="O1259" s="1"/>
  <c r="J1235"/>
  <c r="O1235" s="1"/>
  <c r="J1226"/>
  <c r="O1226" s="1"/>
  <c r="J1196"/>
  <c r="O1196" s="1"/>
  <c r="J1194"/>
  <c r="J1189"/>
  <c r="O1189" s="1"/>
  <c r="J1590"/>
  <c r="O1590" s="1"/>
  <c r="J1584"/>
  <c r="O1584" s="1"/>
  <c r="J1582"/>
  <c r="O1582" s="1"/>
  <c r="J1580"/>
  <c r="O1580" s="1"/>
  <c r="J1574"/>
  <c r="O1574" s="1"/>
  <c r="J1553"/>
  <c r="O1553" s="1"/>
  <c r="J1551"/>
  <c r="O1551" s="1"/>
  <c r="J1549"/>
  <c r="O1549" s="1"/>
  <c r="J1526"/>
  <c r="O1526" s="1"/>
  <c r="J1516"/>
  <c r="O1516" s="1"/>
  <c r="J1514"/>
  <c r="O1514" s="1"/>
  <c r="J1512"/>
  <c r="O1512" s="1"/>
  <c r="J1508"/>
  <c r="O1508" s="1"/>
  <c r="J1480"/>
  <c r="O1480" s="1"/>
  <c r="J1478"/>
  <c r="O1478" s="1"/>
  <c r="J1472"/>
  <c r="O1472" s="1"/>
  <c r="J1466"/>
  <c r="O1466" s="1"/>
  <c r="J1462"/>
  <c r="O1462" s="1"/>
  <c r="J1439"/>
  <c r="O1439" s="1"/>
  <c r="J1437"/>
  <c r="O1437" s="1"/>
  <c r="J1347"/>
  <c r="O1347" s="1"/>
  <c r="J1345"/>
  <c r="O1345" s="1"/>
  <c r="L1344" s="1"/>
  <c r="J1343"/>
  <c r="O1343" s="1"/>
  <c r="J1337"/>
  <c r="O1337" s="1"/>
  <c r="J1335"/>
  <c r="O1335" s="1"/>
  <c r="J1333"/>
  <c r="O1333" s="1"/>
  <c r="J1331"/>
  <c r="O1331" s="1"/>
  <c r="J1329"/>
  <c r="O1329" s="1"/>
  <c r="J1312"/>
  <c r="O1312" s="1"/>
  <c r="J1310"/>
  <c r="O1310" s="1"/>
  <c r="J1303"/>
  <c r="O1303" s="1"/>
  <c r="J1301"/>
  <c r="O1301" s="1"/>
  <c r="J1264"/>
  <c r="O1264" s="1"/>
  <c r="J1238"/>
  <c r="O1238" s="1"/>
  <c r="J1236"/>
  <c r="O1236" s="1"/>
  <c r="J1227"/>
  <c r="O1227" s="1"/>
  <c r="J1223"/>
  <c r="O1223" s="1"/>
  <c r="J1221"/>
  <c r="O1221" s="1"/>
  <c r="J1203"/>
  <c r="O1203" s="1"/>
  <c r="J1202"/>
  <c r="O1202" s="1"/>
  <c r="O2331" s="1"/>
  <c r="J1199"/>
  <c r="O1199" s="1"/>
  <c r="J1197"/>
  <c r="O1197" s="1"/>
  <c r="J1585"/>
  <c r="J1575"/>
  <c r="O1575" s="1"/>
  <c r="J1554"/>
  <c r="J1521"/>
  <c r="O1521" s="1"/>
  <c r="J1519"/>
  <c r="O1519" s="1"/>
  <c r="J1517"/>
  <c r="O1517" s="1"/>
  <c r="J1481"/>
  <c r="O1481" s="1"/>
  <c r="J1467"/>
  <c r="O1467" s="1"/>
  <c r="J1463"/>
  <c r="O1463" s="1"/>
  <c r="J1444"/>
  <c r="O1444" s="1"/>
  <c r="J1442"/>
  <c r="O1442" s="1"/>
  <c r="J1440"/>
  <c r="O1440" s="1"/>
  <c r="J1410"/>
  <c r="O1410" s="1"/>
  <c r="J1408"/>
  <c r="O1408" s="1"/>
  <c r="J1592"/>
  <c r="O1592" s="1"/>
  <c r="J1557"/>
  <c r="O1557" s="1"/>
  <c r="J1555"/>
  <c r="J1522"/>
  <c r="K1522" s="1"/>
  <c r="J1504"/>
  <c r="O1504" s="1"/>
  <c r="J1502"/>
  <c r="O1502" s="1"/>
  <c r="J1499"/>
  <c r="O1499" s="1"/>
  <c r="J1497"/>
  <c r="O1497" s="1"/>
  <c r="J1476"/>
  <c r="O1476" s="1"/>
  <c r="J1474"/>
  <c r="O1474" s="1"/>
  <c r="J1464"/>
  <c r="O1464" s="1"/>
  <c r="J1447"/>
  <c r="O1447" s="1"/>
  <c r="J1445"/>
  <c r="J1418"/>
  <c r="O1418" s="1"/>
  <c r="J1416"/>
  <c r="O1416" s="1"/>
  <c r="J1413"/>
  <c r="O1413" s="1"/>
  <c r="J1411"/>
  <c r="O1411" s="1"/>
  <c r="J1394"/>
  <c r="O1394" s="1"/>
  <c r="J1392"/>
  <c r="J1382"/>
  <c r="O1382" s="1"/>
  <c r="J1380"/>
  <c r="O1380" s="1"/>
  <c r="J1378"/>
  <c r="O1378" s="1"/>
  <c r="J1376"/>
  <c r="O1376" s="1"/>
  <c r="J1374"/>
  <c r="O1374" s="1"/>
  <c r="J1355"/>
  <c r="O1355" s="1"/>
  <c r="J1353"/>
  <c r="O1353" s="1"/>
  <c r="J1316"/>
  <c r="O1316" s="1"/>
  <c r="J1295"/>
  <c r="O1295" s="1"/>
  <c r="J1293"/>
  <c r="O1293" s="1"/>
  <c r="J1275"/>
  <c r="K1275" s="1"/>
  <c r="J1273"/>
  <c r="O1273" s="1"/>
  <c r="J1268"/>
  <c r="O1268" s="1"/>
  <c r="J1258"/>
  <c r="O1258" s="1"/>
  <c r="J1256"/>
  <c r="O1256" s="1"/>
  <c r="J1254"/>
  <c r="O1254" s="1"/>
  <c r="J1239"/>
  <c r="O1239" s="1"/>
  <c r="J1234"/>
  <c r="O1234" s="1"/>
  <c r="J1232"/>
  <c r="O1232" s="1"/>
  <c r="J1230"/>
  <c r="O1230" s="1"/>
  <c r="J1228"/>
  <c r="O1228" s="1"/>
  <c r="J1225"/>
  <c r="O1225" s="1"/>
  <c r="J1220"/>
  <c r="O1220" s="1"/>
  <c r="J1193"/>
  <c r="O1193" s="1"/>
  <c r="J1191"/>
  <c r="O1191" s="1"/>
  <c r="J1186"/>
  <c r="O1186" s="1"/>
  <c r="J1185"/>
  <c r="O1185" s="1"/>
  <c r="J1184"/>
  <c r="O1184" s="1"/>
  <c r="M1179"/>
  <c r="J1179" s="1"/>
  <c r="J1165"/>
  <c r="O1165" s="1"/>
  <c r="J1313"/>
  <c r="K1313" s="1"/>
  <c r="J1200"/>
  <c r="O1200" s="1"/>
  <c r="J1188"/>
  <c r="O1188" s="1"/>
  <c r="J1183"/>
  <c r="O1183" s="1"/>
  <c r="J1162"/>
  <c r="K1162" s="1"/>
  <c r="J1161"/>
  <c r="O1161" s="1"/>
  <c r="J1159"/>
  <c r="O1159" s="1"/>
  <c r="J1134"/>
  <c r="O1134" s="1"/>
  <c r="J1124"/>
  <c r="O1124" s="1"/>
  <c r="J1120"/>
  <c r="O1120" s="1"/>
  <c r="J1110"/>
  <c r="O1110" s="1"/>
  <c r="J1108"/>
  <c r="O1108" s="1"/>
  <c r="J1106"/>
  <c r="O1106" s="1"/>
  <c r="J1089"/>
  <c r="O1089" s="1"/>
  <c r="J1087"/>
  <c r="O1087" s="1"/>
  <c r="J1079"/>
  <c r="O1079" s="1"/>
  <c r="J1046"/>
  <c r="O1046" s="1"/>
  <c r="J1030"/>
  <c r="O1030" s="1"/>
  <c r="J1028"/>
  <c r="O1028" s="1"/>
  <c r="J1026"/>
  <c r="O1026" s="1"/>
  <c r="J1024"/>
  <c r="O1024" s="1"/>
  <c r="J1002"/>
  <c r="O1002" s="1"/>
  <c r="J1000"/>
  <c r="O1000" s="1"/>
  <c r="J998"/>
  <c r="O998" s="1"/>
  <c r="J990"/>
  <c r="O990" s="1"/>
  <c r="J988"/>
  <c r="O988" s="1"/>
  <c r="J986"/>
  <c r="O986" s="1"/>
  <c r="I963"/>
  <c r="J960"/>
  <c r="O960" s="1"/>
  <c r="J958"/>
  <c r="O958" s="1"/>
  <c r="J956"/>
  <c r="O956" s="1"/>
  <c r="J948"/>
  <c r="O948" s="1"/>
  <c r="J915"/>
  <c r="J914"/>
  <c r="J913"/>
  <c r="J912"/>
  <c r="J883"/>
  <c r="J828"/>
  <c r="J827"/>
  <c r="J820"/>
  <c r="K820" s="1"/>
  <c r="J819"/>
  <c r="K819" s="1"/>
  <c r="J818"/>
  <c r="J721"/>
  <c r="J720"/>
  <c r="J719"/>
  <c r="J718"/>
  <c r="J717"/>
  <c r="J716"/>
  <c r="J715"/>
  <c r="J714"/>
  <c r="J713"/>
  <c r="J712"/>
  <c r="J711"/>
  <c r="J710"/>
  <c r="J709"/>
  <c r="J705"/>
  <c r="J2173" s="1"/>
  <c r="J704"/>
  <c r="J703"/>
  <c r="J702"/>
  <c r="J701"/>
  <c r="J700"/>
  <c r="J699"/>
  <c r="J698"/>
  <c r="J697"/>
  <c r="J696"/>
  <c r="J695"/>
  <c r="J694"/>
  <c r="J678"/>
  <c r="J674"/>
  <c r="K674" s="1"/>
  <c r="J673"/>
  <c r="J1350"/>
  <c r="O1350" s="1"/>
  <c r="J1340"/>
  <c r="O1340" s="1"/>
  <c r="J1304"/>
  <c r="O1304" s="1"/>
  <c r="J1271"/>
  <c r="O1271" s="1"/>
  <c r="J1265"/>
  <c r="K1265" s="1"/>
  <c r="J1156"/>
  <c r="O1156" s="1"/>
  <c r="J1154"/>
  <c r="O1154" s="1"/>
  <c r="J1137"/>
  <c r="O1137" s="1"/>
  <c r="J1135"/>
  <c r="K1135" s="1"/>
  <c r="J1115"/>
  <c r="O1115" s="1"/>
  <c r="J1113"/>
  <c r="O1113" s="1"/>
  <c r="J1111"/>
  <c r="O1111" s="1"/>
  <c r="J1092"/>
  <c r="O1092" s="1"/>
  <c r="J1090"/>
  <c r="J1070"/>
  <c r="O1070" s="1"/>
  <c r="J1068"/>
  <c r="O1068" s="1"/>
  <c r="J1066"/>
  <c r="O1066" s="1"/>
  <c r="J1039"/>
  <c r="O1039" s="1"/>
  <c r="J1037"/>
  <c r="O1037" s="1"/>
  <c r="J1033"/>
  <c r="O1033" s="1"/>
  <c r="J1031"/>
  <c r="J1005"/>
  <c r="O1005" s="1"/>
  <c r="J1003"/>
  <c r="J991"/>
  <c r="K991" s="1"/>
  <c r="J989"/>
  <c r="K989" s="1"/>
  <c r="J963"/>
  <c r="O963" s="1"/>
  <c r="J961"/>
  <c r="K961" s="1"/>
  <c r="J941"/>
  <c r="J917"/>
  <c r="K917" s="1"/>
  <c r="K916" s="1"/>
  <c r="J847"/>
  <c r="K847" s="1"/>
  <c r="J816"/>
  <c r="J2080" s="1"/>
  <c r="J814"/>
  <c r="J1796" s="1"/>
  <c r="J813"/>
  <c r="J1795" s="1"/>
  <c r="J812"/>
  <c r="J1794" s="1"/>
  <c r="J811"/>
  <c r="J783"/>
  <c r="J1792" s="1"/>
  <c r="J1391"/>
  <c r="O1391" s="1"/>
  <c r="J1315"/>
  <c r="O1315" s="1"/>
  <c r="J1224"/>
  <c r="O1224" s="1"/>
  <c r="J1190"/>
  <c r="O1190" s="1"/>
  <c r="J1181"/>
  <c r="O1181" s="1"/>
  <c r="J1164"/>
  <c r="O1164" s="1"/>
  <c r="J1157"/>
  <c r="O1157" s="1"/>
  <c r="J1138"/>
  <c r="O1138" s="1"/>
  <c r="J1128"/>
  <c r="O1128" s="1"/>
  <c r="J1126"/>
  <c r="O1126" s="1"/>
  <c r="J1116"/>
  <c r="J1093"/>
  <c r="O1093" s="1"/>
  <c r="J1075"/>
  <c r="O1075" s="1"/>
  <c r="J1073"/>
  <c r="O1073" s="1"/>
  <c r="J1071"/>
  <c r="O1071" s="1"/>
  <c r="J1042"/>
  <c r="O1042" s="1"/>
  <c r="J1040"/>
  <c r="O1040" s="1"/>
  <c r="J1034"/>
  <c r="O1034" s="1"/>
  <c r="J1006"/>
  <c r="O1006" s="1"/>
  <c r="J994"/>
  <c r="O994" s="1"/>
  <c r="J992"/>
  <c r="O992" s="1"/>
  <c r="J964"/>
  <c r="O964" s="1"/>
  <c r="I955"/>
  <c r="I953"/>
  <c r="I951"/>
  <c r="J944"/>
  <c r="O944" s="1"/>
  <c r="J942"/>
  <c r="K942" s="1"/>
  <c r="J937"/>
  <c r="O937" s="1"/>
  <c r="J852"/>
  <c r="J1834" s="1"/>
  <c r="J851"/>
  <c r="J1833" s="1"/>
  <c r="J850"/>
  <c r="J1832" s="1"/>
  <c r="J849"/>
  <c r="J1831" s="1"/>
  <c r="J825"/>
  <c r="J2195" s="1"/>
  <c r="J824"/>
  <c r="J2194" s="1"/>
  <c r="J823"/>
  <c r="J2193" s="1"/>
  <c r="J822"/>
  <c r="J676"/>
  <c r="J671"/>
  <c r="J2063" s="1"/>
  <c r="J650"/>
  <c r="J2356" s="1"/>
  <c r="J649"/>
  <c r="J648"/>
  <c r="K648" s="1"/>
  <c r="J1389"/>
  <c r="O1389" s="1"/>
  <c r="J1348"/>
  <c r="K1348" s="1"/>
  <c r="J1338"/>
  <c r="O1338" s="1"/>
  <c r="J1267"/>
  <c r="O1267" s="1"/>
  <c r="J1152"/>
  <c r="O1152" s="1"/>
  <c r="J1133"/>
  <c r="O1133" s="1"/>
  <c r="J1131"/>
  <c r="O1131" s="1"/>
  <c r="J1129"/>
  <c r="O1129" s="1"/>
  <c r="J1123"/>
  <c r="O1123" s="1"/>
  <c r="J1119"/>
  <c r="O1119" s="1"/>
  <c r="J1117"/>
  <c r="O1117" s="1"/>
  <c r="J1086"/>
  <c r="O1086" s="1"/>
  <c r="J1084"/>
  <c r="O1084" s="1"/>
  <c r="J1082"/>
  <c r="O1082" s="1"/>
  <c r="J1078"/>
  <c r="O1078" s="1"/>
  <c r="J1076"/>
  <c r="O1076" s="1"/>
  <c r="J1045"/>
  <c r="O1045" s="1"/>
  <c r="J1043"/>
  <c r="O1043" s="1"/>
  <c r="J995"/>
  <c r="O995" s="1"/>
  <c r="J984"/>
  <c r="O984" s="1"/>
  <c r="I958"/>
  <c r="I956"/>
  <c r="J955"/>
  <c r="O955" s="1"/>
  <c r="J953"/>
  <c r="O953" s="1"/>
  <c r="J951"/>
  <c r="O951" s="1"/>
  <c r="J947"/>
  <c r="O947" s="1"/>
  <c r="J945"/>
  <c r="O945" s="1"/>
  <c r="J940"/>
  <c r="O940" s="1"/>
  <c r="J938"/>
  <c r="O938" s="1"/>
  <c r="J859"/>
  <c r="K859" s="1"/>
  <c r="K858" s="1"/>
  <c r="J857"/>
  <c r="K857" s="1"/>
  <c r="J856"/>
  <c r="J854"/>
  <c r="J751"/>
  <c r="J749"/>
  <c r="J748"/>
  <c r="J747"/>
  <c r="J746"/>
  <c r="J745"/>
  <c r="J744"/>
  <c r="J743"/>
  <c r="J708"/>
  <c r="J693"/>
  <c r="J2161" s="1"/>
  <c r="J692"/>
  <c r="J669"/>
  <c r="K669" s="1"/>
  <c r="J668"/>
  <c r="I2356"/>
  <c r="L2357"/>
  <c r="L2371" s="1"/>
  <c r="N708"/>
  <c r="N2357" s="1"/>
  <c r="I708"/>
  <c r="L707"/>
  <c r="K28"/>
  <c r="AD56"/>
  <c r="K60"/>
  <c r="K58" s="1"/>
  <c r="K66"/>
  <c r="R66"/>
  <c r="R78"/>
  <c r="O79"/>
  <c r="I118"/>
  <c r="I117" s="1"/>
  <c r="K117" s="1"/>
  <c r="N151"/>
  <c r="P153"/>
  <c r="Q153" s="1"/>
  <c r="O154"/>
  <c r="P158"/>
  <c r="P157" s="1"/>
  <c r="J160"/>
  <c r="O167"/>
  <c r="P170"/>
  <c r="P171"/>
  <c r="Q171" s="1"/>
  <c r="O175"/>
  <c r="I181"/>
  <c r="O186"/>
  <c r="O193"/>
  <c r="P207"/>
  <c r="O215"/>
  <c r="J224"/>
  <c r="I227"/>
  <c r="N228"/>
  <c r="I233"/>
  <c r="P234"/>
  <c r="Q234" s="1"/>
  <c r="J236"/>
  <c r="K236" s="1"/>
  <c r="I237"/>
  <c r="K237" s="1"/>
  <c r="P239"/>
  <c r="Q239" s="1"/>
  <c r="I244"/>
  <c r="J263"/>
  <c r="P265"/>
  <c r="P269"/>
  <c r="J271"/>
  <c r="J102" s="1"/>
  <c r="J100" s="1"/>
  <c r="L292"/>
  <c r="L305" s="1"/>
  <c r="J293"/>
  <c r="J294"/>
  <c r="I300"/>
  <c r="L155" s="1"/>
  <c r="J331"/>
  <c r="J1709" s="1"/>
  <c r="I380"/>
  <c r="N380"/>
  <c r="I394"/>
  <c r="I415"/>
  <c r="J441"/>
  <c r="I469"/>
  <c r="I480"/>
  <c r="J502"/>
  <c r="J1821" s="1"/>
  <c r="I503"/>
  <c r="N503"/>
  <c r="N1822" s="1"/>
  <c r="O507"/>
  <c r="J510"/>
  <c r="J1829" s="1"/>
  <c r="I511"/>
  <c r="N511"/>
  <c r="N1830" s="1"/>
  <c r="J513"/>
  <c r="K513" s="1"/>
  <c r="J514"/>
  <c r="K514" s="1"/>
  <c r="L517"/>
  <c r="L183" s="1"/>
  <c r="J518"/>
  <c r="J553"/>
  <c r="K553" s="1"/>
  <c r="K2076" s="1"/>
  <c r="J554"/>
  <c r="J2077" s="1"/>
  <c r="J555"/>
  <c r="J2078" s="1"/>
  <c r="I578"/>
  <c r="N578"/>
  <c r="N1771" s="1"/>
  <c r="L579"/>
  <c r="J580"/>
  <c r="J2059" s="1"/>
  <c r="J581"/>
  <c r="J2060" s="1"/>
  <c r="I584"/>
  <c r="K584" s="1"/>
  <c r="I596"/>
  <c r="N596"/>
  <c r="N2279" s="1"/>
  <c r="N2282" s="1"/>
  <c r="I616"/>
  <c r="J627"/>
  <c r="J2052" s="1"/>
  <c r="I628"/>
  <c r="N628"/>
  <c r="N2053" s="1"/>
  <c r="J631"/>
  <c r="J632"/>
  <c r="K632" s="1"/>
  <c r="J644"/>
  <c r="K644" s="1"/>
  <c r="J645"/>
  <c r="K645" s="1"/>
  <c r="M680"/>
  <c r="N680" s="1"/>
  <c r="N742"/>
  <c r="N755" s="1"/>
  <c r="K32"/>
  <c r="R39"/>
  <c r="R56"/>
  <c r="K67"/>
  <c r="R67"/>
  <c r="T67" s="1"/>
  <c r="O158"/>
  <c r="O170"/>
  <c r="O182"/>
  <c r="Q182" s="1"/>
  <c r="L184"/>
  <c r="O185"/>
  <c r="O214"/>
  <c r="P221"/>
  <c r="P219" s="1"/>
  <c r="P227"/>
  <c r="P226" s="1"/>
  <c r="P233"/>
  <c r="Q233" s="1"/>
  <c r="P237"/>
  <c r="Q237" s="1"/>
  <c r="P240"/>
  <c r="Q240" s="1"/>
  <c r="P244"/>
  <c r="P243" s="1"/>
  <c r="P264"/>
  <c r="P268"/>
  <c r="J301"/>
  <c r="J387"/>
  <c r="J1723" s="1"/>
  <c r="J389"/>
  <c r="J2072" s="1"/>
  <c r="J395"/>
  <c r="K395" s="1"/>
  <c r="J396"/>
  <c r="J2191" s="1"/>
  <c r="J416"/>
  <c r="J1724" s="1"/>
  <c r="J417"/>
  <c r="J1725" s="1"/>
  <c r="J418"/>
  <c r="J1726" s="1"/>
  <c r="J419"/>
  <c r="J1727" s="1"/>
  <c r="J420"/>
  <c r="J1728" s="1"/>
  <c r="J421"/>
  <c r="J1729" s="1"/>
  <c r="J422"/>
  <c r="J1730" s="1"/>
  <c r="J423"/>
  <c r="J1731" s="1"/>
  <c r="J424"/>
  <c r="J1745" s="1"/>
  <c r="J425"/>
  <c r="J1746" s="1"/>
  <c r="J426"/>
  <c r="J1747" s="1"/>
  <c r="J427"/>
  <c r="J1748" s="1"/>
  <c r="J428"/>
  <c r="J1749" s="1"/>
  <c r="J429"/>
  <c r="J1750" s="1"/>
  <c r="J430"/>
  <c r="J1751" s="1"/>
  <c r="J431"/>
  <c r="J1752" s="1"/>
  <c r="J432"/>
  <c r="J1753" s="1"/>
  <c r="J433"/>
  <c r="J1754" s="1"/>
  <c r="J434"/>
  <c r="J1755" s="1"/>
  <c r="J435"/>
  <c r="J1756" s="1"/>
  <c r="J437"/>
  <c r="J2073" s="1"/>
  <c r="J470"/>
  <c r="K470" s="1"/>
  <c r="J471"/>
  <c r="K471" s="1"/>
  <c r="J472"/>
  <c r="K472" s="1"/>
  <c r="J473"/>
  <c r="J1757" s="1"/>
  <c r="J474"/>
  <c r="J1758" s="1"/>
  <c r="J475"/>
  <c r="J1759" s="1"/>
  <c r="J476"/>
  <c r="J1760" s="1"/>
  <c r="J481"/>
  <c r="J482"/>
  <c r="K482" s="1"/>
  <c r="J500"/>
  <c r="J1819" s="1"/>
  <c r="J501"/>
  <c r="J1820" s="1"/>
  <c r="J505"/>
  <c r="J1824" s="1"/>
  <c r="J506"/>
  <c r="J1825" s="1"/>
  <c r="J509"/>
  <c r="J1828" s="1"/>
  <c r="J546"/>
  <c r="J1763" s="1"/>
  <c r="J586"/>
  <c r="J587"/>
  <c r="K587" s="1"/>
  <c r="J588"/>
  <c r="K588" s="1"/>
  <c r="J589"/>
  <c r="K589" s="1"/>
  <c r="J617"/>
  <c r="K617" s="1"/>
  <c r="K1772" s="1"/>
  <c r="J624"/>
  <c r="J2049" s="1"/>
  <c r="J625"/>
  <c r="J2050" s="1"/>
  <c r="J626"/>
  <c r="J2051" s="1"/>
  <c r="J646"/>
  <c r="K646" s="1"/>
  <c r="J706"/>
  <c r="J2174" s="1"/>
  <c r="K1116"/>
  <c r="I2063"/>
  <c r="I2064" s="1"/>
  <c r="I2338"/>
  <c r="I2339" s="1"/>
  <c r="K676"/>
  <c r="I675"/>
  <c r="I680" s="1"/>
  <c r="L2171"/>
  <c r="N693"/>
  <c r="N2171" s="1"/>
  <c r="I693"/>
  <c r="L691"/>
  <c r="I39"/>
  <c r="P151"/>
  <c r="P183"/>
  <c r="N207"/>
  <c r="L226"/>
  <c r="M235"/>
  <c r="I240"/>
  <c r="K240" s="1"/>
  <c r="L243"/>
  <c r="J381"/>
  <c r="J382"/>
  <c r="J383"/>
  <c r="J384"/>
  <c r="J385"/>
  <c r="J386"/>
  <c r="J443"/>
  <c r="J447"/>
  <c r="J448"/>
  <c r="L498"/>
  <c r="J499"/>
  <c r="J504"/>
  <c r="J1823" s="1"/>
  <c r="J508"/>
  <c r="J512"/>
  <c r="J181" s="1"/>
  <c r="J516"/>
  <c r="N517"/>
  <c r="J544"/>
  <c r="J545"/>
  <c r="J1762" s="1"/>
  <c r="J547"/>
  <c r="J548"/>
  <c r="J549"/>
  <c r="J550"/>
  <c r="J551"/>
  <c r="J557"/>
  <c r="L575"/>
  <c r="N2064"/>
  <c r="J597"/>
  <c r="J598"/>
  <c r="J600"/>
  <c r="L618"/>
  <c r="J619"/>
  <c r="J620"/>
  <c r="J621"/>
  <c r="J622"/>
  <c r="J623"/>
  <c r="J2048" s="1"/>
  <c r="J629"/>
  <c r="K629" s="1"/>
  <c r="J634"/>
  <c r="J635"/>
  <c r="J636"/>
  <c r="J637"/>
  <c r="J638"/>
  <c r="J639"/>
  <c r="J640"/>
  <c r="J641"/>
  <c r="J642"/>
  <c r="N643"/>
  <c r="J647"/>
  <c r="K647" s="1"/>
  <c r="K649"/>
  <c r="K1003"/>
  <c r="K1031"/>
  <c r="N1150"/>
  <c r="I1978"/>
  <c r="K1185"/>
  <c r="K1978" s="1"/>
  <c r="I2088"/>
  <c r="K1232"/>
  <c r="K2088" s="1"/>
  <c r="I1231"/>
  <c r="N1255"/>
  <c r="L1252"/>
  <c r="N1252" s="1"/>
  <c r="I1996"/>
  <c r="I1272"/>
  <c r="N1294"/>
  <c r="L1291"/>
  <c r="N1354"/>
  <c r="L1351"/>
  <c r="N1351" s="1"/>
  <c r="I1858"/>
  <c r="K1374"/>
  <c r="K1858" s="1"/>
  <c r="I1373"/>
  <c r="I2242"/>
  <c r="I1381"/>
  <c r="I705"/>
  <c r="N705"/>
  <c r="N2169" s="1"/>
  <c r="K822"/>
  <c r="K823"/>
  <c r="K2193" s="1"/>
  <c r="K825"/>
  <c r="K2195" s="1"/>
  <c r="K852"/>
  <c r="K1834" s="1"/>
  <c r="N936"/>
  <c r="L949"/>
  <c r="K992"/>
  <c r="K1961" s="1"/>
  <c r="K1042"/>
  <c r="I1044"/>
  <c r="K1075"/>
  <c r="I1077"/>
  <c r="I1081"/>
  <c r="I1083"/>
  <c r="I1085"/>
  <c r="I1118"/>
  <c r="I1122"/>
  <c r="K1128"/>
  <c r="K1972" s="1"/>
  <c r="I1130"/>
  <c r="K1138"/>
  <c r="K2215" s="1"/>
  <c r="I1153"/>
  <c r="K1153" s="1"/>
  <c r="K1157"/>
  <c r="K1975" s="1"/>
  <c r="N1163"/>
  <c r="N1180"/>
  <c r="N1201"/>
  <c r="K1521"/>
  <c r="K1554"/>
  <c r="N2174"/>
  <c r="N2158"/>
  <c r="N2175" s="1"/>
  <c r="I1977"/>
  <c r="K1184"/>
  <c r="K1977" s="1"/>
  <c r="I1980"/>
  <c r="K1230"/>
  <c r="K1980" s="1"/>
  <c r="I1229"/>
  <c r="I1981"/>
  <c r="I1257"/>
  <c r="N1274"/>
  <c r="I1274"/>
  <c r="K1274" s="1"/>
  <c r="N1375"/>
  <c r="L1372"/>
  <c r="N1372" s="1"/>
  <c r="I1379"/>
  <c r="K783"/>
  <c r="I810"/>
  <c r="I830" s="1"/>
  <c r="K811"/>
  <c r="K813"/>
  <c r="K1795" s="1"/>
  <c r="K816"/>
  <c r="I846"/>
  <c r="I936"/>
  <c r="L939"/>
  <c r="L935" s="1"/>
  <c r="I940"/>
  <c r="N940"/>
  <c r="N2131" s="1"/>
  <c r="N2133" s="1"/>
  <c r="L983"/>
  <c r="I984"/>
  <c r="N984"/>
  <c r="N1836" s="1"/>
  <c r="I993"/>
  <c r="K1033"/>
  <c r="K2204" s="1"/>
  <c r="K1037"/>
  <c r="K1892" s="1"/>
  <c r="K1070"/>
  <c r="K1966" s="1"/>
  <c r="I1072"/>
  <c r="K1111"/>
  <c r="K1971" s="1"/>
  <c r="I1127"/>
  <c r="K1137"/>
  <c r="K2214" s="1"/>
  <c r="K1154"/>
  <c r="K1897" s="1"/>
  <c r="L1383"/>
  <c r="N1383" s="1"/>
  <c r="K1193"/>
  <c r="I1192"/>
  <c r="I1904"/>
  <c r="K1228"/>
  <c r="K1904" s="1"/>
  <c r="I2232"/>
  <c r="I1905"/>
  <c r="I1255"/>
  <c r="I2234"/>
  <c r="K1268"/>
  <c r="K2234" s="1"/>
  <c r="I1998"/>
  <c r="K1295"/>
  <c r="K1998" s="1"/>
  <c r="I1294"/>
  <c r="I2004"/>
  <c r="I1354"/>
  <c r="I2006"/>
  <c r="I1377"/>
  <c r="I2243"/>
  <c r="I1393"/>
  <c r="K1391"/>
  <c r="K1476"/>
  <c r="K1555"/>
  <c r="I2217"/>
  <c r="I1979"/>
  <c r="K1186"/>
  <c r="K1979" s="1"/>
  <c r="L2122"/>
  <c r="L2125" s="1"/>
  <c r="L1187"/>
  <c r="N1189"/>
  <c r="N2122" s="1"/>
  <c r="N2125" s="1"/>
  <c r="I1189"/>
  <c r="I2124"/>
  <c r="K1191"/>
  <c r="K2124" s="1"/>
  <c r="I1843"/>
  <c r="I1219"/>
  <c r="I1901"/>
  <c r="I1222"/>
  <c r="I1233"/>
  <c r="I1845"/>
  <c r="K1254"/>
  <c r="K1845" s="1"/>
  <c r="I1253"/>
  <c r="L2305"/>
  <c r="L2306" s="1"/>
  <c r="N1278"/>
  <c r="N2305" s="1"/>
  <c r="N2306" s="1"/>
  <c r="I1278"/>
  <c r="L1277"/>
  <c r="L1269" s="1"/>
  <c r="I1907"/>
  <c r="I1292"/>
  <c r="I2238"/>
  <c r="K1316"/>
  <c r="K2238" s="1"/>
  <c r="I1911"/>
  <c r="K1353"/>
  <c r="K1911" s="1"/>
  <c r="I1352"/>
  <c r="I1912"/>
  <c r="I1375"/>
  <c r="I848"/>
  <c r="N2032"/>
  <c r="I987"/>
  <c r="I1125"/>
  <c r="K1125" s="1"/>
  <c r="K1194"/>
  <c r="N1266"/>
  <c r="K1392"/>
  <c r="K1585"/>
  <c r="L2262"/>
  <c r="N1677"/>
  <c r="K1181"/>
  <c r="K1898" s="1"/>
  <c r="K1183"/>
  <c r="K1976" s="1"/>
  <c r="K1224"/>
  <c r="K1900" s="1"/>
  <c r="K1267"/>
  <c r="K2233" s="1"/>
  <c r="K1304"/>
  <c r="K2236" s="1"/>
  <c r="N1314"/>
  <c r="K1350"/>
  <c r="K2240" s="1"/>
  <c r="K1410"/>
  <c r="K2008" s="1"/>
  <c r="I1412"/>
  <c r="I1406" s="1"/>
  <c r="L1414"/>
  <c r="N1414" s="1"/>
  <c r="I1415"/>
  <c r="I1417"/>
  <c r="N1441"/>
  <c r="I1446"/>
  <c r="I1461"/>
  <c r="I1475"/>
  <c r="L1495"/>
  <c r="N1495" s="1"/>
  <c r="I1496"/>
  <c r="I1498"/>
  <c r="I1503"/>
  <c r="N1518"/>
  <c r="K1519"/>
  <c r="K2096" s="1"/>
  <c r="I1556"/>
  <c r="L1874"/>
  <c r="I1594"/>
  <c r="K1686"/>
  <c r="I2025"/>
  <c r="K1593"/>
  <c r="K2025" s="1"/>
  <c r="I1328"/>
  <c r="K1356"/>
  <c r="K2005" s="1"/>
  <c r="K1358"/>
  <c r="K1357" s="1"/>
  <c r="K1419"/>
  <c r="K2011" s="1"/>
  <c r="N1433"/>
  <c r="K1434"/>
  <c r="K1859" s="1"/>
  <c r="K1465"/>
  <c r="K1863" s="1"/>
  <c r="K1469"/>
  <c r="K1930" s="1"/>
  <c r="I1473"/>
  <c r="I1552"/>
  <c r="L1237"/>
  <c r="I1238"/>
  <c r="N1238"/>
  <c r="N2231" s="1"/>
  <c r="N2263" s="1"/>
  <c r="K1413"/>
  <c r="K2114" s="1"/>
  <c r="K1416"/>
  <c r="K1915" s="1"/>
  <c r="K1418"/>
  <c r="K2010" s="1"/>
  <c r="I1433"/>
  <c r="I1435"/>
  <c r="K1447"/>
  <c r="K2244" s="1"/>
  <c r="K1464"/>
  <c r="K1862" s="1"/>
  <c r="I1470"/>
  <c r="K1474"/>
  <c r="K1497"/>
  <c r="K1931" s="1"/>
  <c r="K1499"/>
  <c r="K2016" s="1"/>
  <c r="I1501"/>
  <c r="K1502"/>
  <c r="K2095" s="1"/>
  <c r="L1542"/>
  <c r="N1542" s="1"/>
  <c r="I1543"/>
  <c r="I1572"/>
  <c r="I1578"/>
  <c r="K1685"/>
  <c r="L1802"/>
  <c r="I1597"/>
  <c r="N1615"/>
  <c r="K1616"/>
  <c r="K1872" s="1"/>
  <c r="I1618"/>
  <c r="K1618" s="1"/>
  <c r="K1620"/>
  <c r="K1937" s="1"/>
  <c r="K1622"/>
  <c r="K2026" s="1"/>
  <c r="K1626"/>
  <c r="K1634"/>
  <c r="K1938" s="1"/>
  <c r="N1635"/>
  <c r="K1636"/>
  <c r="K2027" s="1"/>
  <c r="L2054"/>
  <c r="I1615"/>
  <c r="K1619"/>
  <c r="K1936" s="1"/>
  <c r="I1621"/>
  <c r="I1623"/>
  <c r="I1635"/>
  <c r="K1662"/>
  <c r="N1663"/>
  <c r="K1664"/>
  <c r="K1939" s="1"/>
  <c r="K1666"/>
  <c r="K2029" s="1"/>
  <c r="I1670"/>
  <c r="K1688"/>
  <c r="K2262" s="1"/>
  <c r="I1940"/>
  <c r="P2139"/>
  <c r="L2263"/>
  <c r="I1663"/>
  <c r="I1665"/>
  <c r="K1675"/>
  <c r="K2260" s="1"/>
  <c r="N1678"/>
  <c r="K1679"/>
  <c r="K1940" s="1"/>
  <c r="K1681"/>
  <c r="K2031" s="1"/>
  <c r="I1687"/>
  <c r="L2282"/>
  <c r="K1598"/>
  <c r="K2255" s="1"/>
  <c r="I1633"/>
  <c r="I1680"/>
  <c r="I1677" s="1"/>
  <c r="L2032"/>
  <c r="L2064"/>
  <c r="I1035" l="1"/>
  <c r="N1291"/>
  <c r="N830"/>
  <c r="P267"/>
  <c r="I222"/>
  <c r="I1022"/>
  <c r="K186"/>
  <c r="N996"/>
  <c r="N1080"/>
  <c r="N1121"/>
  <c r="K1411"/>
  <c r="K2009" s="1"/>
  <c r="N1269"/>
  <c r="Q271"/>
  <c r="Q230"/>
  <c r="K1380"/>
  <c r="K1379" s="1"/>
  <c r="K1683"/>
  <c r="K2101" s="1"/>
  <c r="K1595"/>
  <c r="N292"/>
  <c r="N305" s="1"/>
  <c r="K671"/>
  <c r="O207"/>
  <c r="Q207" s="1"/>
  <c r="J222"/>
  <c r="Q186"/>
  <c r="Q168"/>
  <c r="N449"/>
  <c r="N1406"/>
  <c r="I153"/>
  <c r="M96"/>
  <c r="M20" s="1"/>
  <c r="J190"/>
  <c r="J112" s="1"/>
  <c r="M112"/>
  <c r="I292"/>
  <c r="I305" s="1"/>
  <c r="K294"/>
  <c r="K1703" s="1"/>
  <c r="J480"/>
  <c r="J177" s="1"/>
  <c r="K177" s="1"/>
  <c r="N861"/>
  <c r="I54"/>
  <c r="K1557"/>
  <c r="K2252" s="1"/>
  <c r="K1448"/>
  <c r="K2245" s="1"/>
  <c r="K1360"/>
  <c r="K2241" s="1"/>
  <c r="K1196"/>
  <c r="K2218" s="1"/>
  <c r="K1408"/>
  <c r="K1914" s="1"/>
  <c r="K1271"/>
  <c r="K1906" s="1"/>
  <c r="K1190"/>
  <c r="K2123" s="1"/>
  <c r="K1376"/>
  <c r="K1912" s="1"/>
  <c r="K1220"/>
  <c r="K1843" s="1"/>
  <c r="K1394"/>
  <c r="K2243" s="1"/>
  <c r="K1256"/>
  <c r="K1905" s="1"/>
  <c r="K1113"/>
  <c r="K2085" s="1"/>
  <c r="K1068"/>
  <c r="K1893" s="1"/>
  <c r="K1093"/>
  <c r="K2211" s="1"/>
  <c r="K1040"/>
  <c r="K1965" s="1"/>
  <c r="K937"/>
  <c r="K1956" s="1"/>
  <c r="K849"/>
  <c r="K1273"/>
  <c r="K1996" s="1"/>
  <c r="S21"/>
  <c r="I229"/>
  <c r="Q215"/>
  <c r="N2371"/>
  <c r="N616"/>
  <c r="I517"/>
  <c r="N243"/>
  <c r="Q164"/>
  <c r="N486"/>
  <c r="M110"/>
  <c r="T58"/>
  <c r="K158"/>
  <c r="K157" s="1"/>
  <c r="I157"/>
  <c r="K270"/>
  <c r="K101" s="1"/>
  <c r="K431"/>
  <c r="K1752" s="1"/>
  <c r="K941"/>
  <c r="K2132" s="1"/>
  <c r="O941"/>
  <c r="Q991"/>
  <c r="O991"/>
  <c r="Q1392"/>
  <c r="O1392"/>
  <c r="Q1555"/>
  <c r="O1555"/>
  <c r="Q1585"/>
  <c r="O1585"/>
  <c r="Q1194"/>
  <c r="O1194"/>
  <c r="M2262"/>
  <c r="M1689"/>
  <c r="I1588"/>
  <c r="K1575"/>
  <c r="K1871" s="1"/>
  <c r="K1517"/>
  <c r="K2019" s="1"/>
  <c r="K1188"/>
  <c r="K2121" s="1"/>
  <c r="K1378"/>
  <c r="K2006" s="1"/>
  <c r="K1239"/>
  <c r="K2232" s="1"/>
  <c r="K1092"/>
  <c r="K2210" s="1"/>
  <c r="K1066"/>
  <c r="K1837" s="1"/>
  <c r="K1071"/>
  <c r="K1967" s="1"/>
  <c r="K1006"/>
  <c r="K2203" s="1"/>
  <c r="K850"/>
  <c r="K1832" s="1"/>
  <c r="K1382"/>
  <c r="K2242" s="1"/>
  <c r="Q170"/>
  <c r="K423"/>
  <c r="K1731" s="1"/>
  <c r="K387"/>
  <c r="K1723" s="1"/>
  <c r="Q193"/>
  <c r="N229"/>
  <c r="Q217"/>
  <c r="P222"/>
  <c r="Q65"/>
  <c r="Q64" s="1"/>
  <c r="I1341"/>
  <c r="N2262"/>
  <c r="Q989"/>
  <c r="O989"/>
  <c r="Q1031"/>
  <c r="O1031"/>
  <c r="Q1135"/>
  <c r="O1135"/>
  <c r="Q1265"/>
  <c r="O1265"/>
  <c r="Q1179"/>
  <c r="O1179"/>
  <c r="L1179" s="1"/>
  <c r="Q1522"/>
  <c r="O1522"/>
  <c r="Q1274"/>
  <c r="O1274"/>
  <c r="Q1477"/>
  <c r="O1477"/>
  <c r="Q1686"/>
  <c r="O1686"/>
  <c r="Q1090"/>
  <c r="O1090"/>
  <c r="Q1445"/>
  <c r="O1445"/>
  <c r="Q1554"/>
  <c r="O1554"/>
  <c r="Q1596"/>
  <c r="O1596"/>
  <c r="Q1673"/>
  <c r="O1673"/>
  <c r="N118"/>
  <c r="L117"/>
  <c r="N1327"/>
  <c r="I1383"/>
  <c r="Q1348"/>
  <c r="O1348"/>
  <c r="Q942"/>
  <c r="O942"/>
  <c r="Q1116"/>
  <c r="O1116"/>
  <c r="Q961"/>
  <c r="O961"/>
  <c r="Q1003"/>
  <c r="O1003"/>
  <c r="Q1162"/>
  <c r="O1162"/>
  <c r="Q1313"/>
  <c r="O1313"/>
  <c r="Q1275"/>
  <c r="O1275"/>
  <c r="L1341"/>
  <c r="N1341" s="1"/>
  <c r="L262"/>
  <c r="N1412"/>
  <c r="L264"/>
  <c r="N129"/>
  <c r="L37"/>
  <c r="R23"/>
  <c r="I23"/>
  <c r="AD23" s="1"/>
  <c r="P188"/>
  <c r="Q263"/>
  <c r="K263"/>
  <c r="N263"/>
  <c r="L125"/>
  <c r="P261"/>
  <c r="Q261" s="1"/>
  <c r="N261"/>
  <c r="N109" s="1"/>
  <c r="O1941" s="1"/>
  <c r="P1941" s="1"/>
  <c r="M259"/>
  <c r="J261"/>
  <c r="J109" s="1"/>
  <c r="K109" s="1"/>
  <c r="K1384"/>
  <c r="N1305"/>
  <c r="J260"/>
  <c r="M108"/>
  <c r="L100"/>
  <c r="L22"/>
  <c r="I1150"/>
  <c r="Q267"/>
  <c r="N1874"/>
  <c r="I128"/>
  <c r="I37"/>
  <c r="J630"/>
  <c r="J211" s="1"/>
  <c r="K211" s="1"/>
  <c r="K476"/>
  <c r="K1760" s="1"/>
  <c r="K429"/>
  <c r="K1750" s="1"/>
  <c r="K421"/>
  <c r="K1729" s="1"/>
  <c r="K396"/>
  <c r="K2191" s="1"/>
  <c r="K331"/>
  <c r="Q227"/>
  <c r="Q226" s="1"/>
  <c r="P174"/>
  <c r="K512"/>
  <c r="K181" s="1"/>
  <c r="P179"/>
  <c r="K506"/>
  <c r="K1825" s="1"/>
  <c r="K501"/>
  <c r="K1820" s="1"/>
  <c r="K433"/>
  <c r="K1754" s="1"/>
  <c r="K425"/>
  <c r="K1746" s="1"/>
  <c r="K417"/>
  <c r="K1725" s="1"/>
  <c r="K54"/>
  <c r="K555"/>
  <c r="K2078" s="1"/>
  <c r="N235"/>
  <c r="I235"/>
  <c r="O222"/>
  <c r="I125"/>
  <c r="I124" s="1"/>
  <c r="I35" s="1"/>
  <c r="K546"/>
  <c r="K1763" s="1"/>
  <c r="K473"/>
  <c r="K1757" s="1"/>
  <c r="K435"/>
  <c r="K1756" s="1"/>
  <c r="K427"/>
  <c r="K1748" s="1"/>
  <c r="K419"/>
  <c r="K1727" s="1"/>
  <c r="K650"/>
  <c r="K2356" s="1"/>
  <c r="K627"/>
  <c r="K2052" s="1"/>
  <c r="N166"/>
  <c r="Q152"/>
  <c r="I1432"/>
  <c r="N1237"/>
  <c r="L268"/>
  <c r="I1327"/>
  <c r="I1372"/>
  <c r="K1292"/>
  <c r="I1291"/>
  <c r="I2305"/>
  <c r="I2306" s="1"/>
  <c r="I1277"/>
  <c r="K1278"/>
  <c r="K2305" s="1"/>
  <c r="I2122"/>
  <c r="I2125" s="1"/>
  <c r="K1189"/>
  <c r="K2122" s="1"/>
  <c r="I1187"/>
  <c r="K1797"/>
  <c r="K846"/>
  <c r="K1792"/>
  <c r="K782"/>
  <c r="K787" s="1"/>
  <c r="K771" s="1"/>
  <c r="K1831"/>
  <c r="K2192"/>
  <c r="J2157"/>
  <c r="K640"/>
  <c r="K2157" s="1"/>
  <c r="J2153"/>
  <c r="K636"/>
  <c r="K2153" s="1"/>
  <c r="J2044"/>
  <c r="K619"/>
  <c r="K2044" s="1"/>
  <c r="J2280"/>
  <c r="K597"/>
  <c r="K2280" s="1"/>
  <c r="J1768"/>
  <c r="K551"/>
  <c r="K1768" s="1"/>
  <c r="J1764"/>
  <c r="K547"/>
  <c r="K1764" s="1"/>
  <c r="J543"/>
  <c r="J2385"/>
  <c r="K447"/>
  <c r="K2385" s="1"/>
  <c r="J446"/>
  <c r="J1721"/>
  <c r="K385"/>
  <c r="K1721" s="1"/>
  <c r="J1717"/>
  <c r="K381"/>
  <c r="K1717" s="1"/>
  <c r="K2063"/>
  <c r="K670"/>
  <c r="K215" s="1"/>
  <c r="J585"/>
  <c r="K586"/>
  <c r="K585" s="1"/>
  <c r="O213"/>
  <c r="Q214"/>
  <c r="Q213" s="1"/>
  <c r="L2058"/>
  <c r="N579"/>
  <c r="N2058" s="1"/>
  <c r="L190"/>
  <c r="I579"/>
  <c r="K579" s="1"/>
  <c r="I183"/>
  <c r="N183"/>
  <c r="O183"/>
  <c r="Q183" s="1"/>
  <c r="I1830"/>
  <c r="K511"/>
  <c r="K1830" s="1"/>
  <c r="J2120"/>
  <c r="J440"/>
  <c r="J169" s="1"/>
  <c r="K169" s="1"/>
  <c r="J1702"/>
  <c r="J292"/>
  <c r="J151"/>
  <c r="O166"/>
  <c r="J1785"/>
  <c r="K743"/>
  <c r="J1789"/>
  <c r="K747"/>
  <c r="K1789" s="1"/>
  <c r="J2081"/>
  <c r="K854"/>
  <c r="J1957"/>
  <c r="K938"/>
  <c r="K1957" s="1"/>
  <c r="Q938"/>
  <c r="J1835"/>
  <c r="J950"/>
  <c r="Q951"/>
  <c r="I2082"/>
  <c r="I2102" s="1"/>
  <c r="I957"/>
  <c r="K958"/>
  <c r="J2206"/>
  <c r="K1045"/>
  <c r="K2206" s="1"/>
  <c r="J1044"/>
  <c r="Q1045"/>
  <c r="J1894"/>
  <c r="K1084"/>
  <c r="K1894" s="1"/>
  <c r="J1083"/>
  <c r="Q1084"/>
  <c r="J1840"/>
  <c r="K1123"/>
  <c r="K1840" s="1"/>
  <c r="J1122"/>
  <c r="O1122" s="1"/>
  <c r="Q1123"/>
  <c r="J1842"/>
  <c r="K1152"/>
  <c r="K1842" s="1"/>
  <c r="Q1152"/>
  <c r="J2092"/>
  <c r="Q1389"/>
  <c r="Q944"/>
  <c r="J943"/>
  <c r="O943" s="1"/>
  <c r="J2199"/>
  <c r="Q964"/>
  <c r="J2205"/>
  <c r="Q1034"/>
  <c r="J2084"/>
  <c r="Q1073"/>
  <c r="J1072"/>
  <c r="J1896"/>
  <c r="Q1126"/>
  <c r="J2216"/>
  <c r="Q1164"/>
  <c r="J1163"/>
  <c r="O1163" s="1"/>
  <c r="J2237"/>
  <c r="Q1315"/>
  <c r="J1314"/>
  <c r="O1314" s="1"/>
  <c r="J1797"/>
  <c r="J846"/>
  <c r="J861" s="1"/>
  <c r="J2198"/>
  <c r="Q963"/>
  <c r="J962"/>
  <c r="J2202"/>
  <c r="Q1005"/>
  <c r="J1004"/>
  <c r="O1004" s="1"/>
  <c r="J1964"/>
  <c r="Q1039"/>
  <c r="J1038"/>
  <c r="O1038" s="1"/>
  <c r="Q1115"/>
  <c r="J1114"/>
  <c r="J1974"/>
  <c r="Q1156"/>
  <c r="J1155"/>
  <c r="O1155" s="1"/>
  <c r="J2239"/>
  <c r="Q1340"/>
  <c r="K1340"/>
  <c r="K2239" s="1"/>
  <c r="J1339"/>
  <c r="O1339" s="1"/>
  <c r="J677"/>
  <c r="K678"/>
  <c r="K677" s="1"/>
  <c r="J2165"/>
  <c r="K697"/>
  <c r="K2165" s="1"/>
  <c r="J2169"/>
  <c r="K701"/>
  <c r="K2169" s="1"/>
  <c r="J2361"/>
  <c r="K712"/>
  <c r="K2361" s="1"/>
  <c r="J2365"/>
  <c r="K716"/>
  <c r="K2365" s="1"/>
  <c r="J2369"/>
  <c r="K720"/>
  <c r="K2369" s="1"/>
  <c r="J1798"/>
  <c r="K912"/>
  <c r="J2197"/>
  <c r="K948"/>
  <c r="K2197" s="1"/>
  <c r="Q948"/>
  <c r="I2198"/>
  <c r="I962"/>
  <c r="K963"/>
  <c r="K2198" s="1"/>
  <c r="J1890"/>
  <c r="K998"/>
  <c r="K1890" s="1"/>
  <c r="Q998"/>
  <c r="J1963"/>
  <c r="K1026"/>
  <c r="K1963" s="1"/>
  <c r="J1025"/>
  <c r="O1025" s="1"/>
  <c r="Q1026"/>
  <c r="J2209"/>
  <c r="K1079"/>
  <c r="K2209" s="1"/>
  <c r="Q1079"/>
  <c r="J1895"/>
  <c r="K1108"/>
  <c r="K1895" s="1"/>
  <c r="J1107"/>
  <c r="O1107" s="1"/>
  <c r="Q1108"/>
  <c r="K1134"/>
  <c r="Q1134"/>
  <c r="J1976"/>
  <c r="Q1183"/>
  <c r="J1182"/>
  <c r="O1182" s="1"/>
  <c r="J2217"/>
  <c r="Q1165"/>
  <c r="J1979"/>
  <c r="Q1186"/>
  <c r="J1901"/>
  <c r="Q1225"/>
  <c r="J1233"/>
  <c r="Q1234"/>
  <c r="J1981"/>
  <c r="J1257"/>
  <c r="Q1258"/>
  <c r="J1907"/>
  <c r="Q1293"/>
  <c r="J2004"/>
  <c r="J1354"/>
  <c r="O1354" s="1"/>
  <c r="Q1355"/>
  <c r="J1379"/>
  <c r="Q1380"/>
  <c r="J2009"/>
  <c r="Q1411"/>
  <c r="J1475"/>
  <c r="Q1476"/>
  <c r="J1503"/>
  <c r="Q1504"/>
  <c r="J2024"/>
  <c r="Q1592"/>
  <c r="K1592"/>
  <c r="K2024" s="1"/>
  <c r="J1591"/>
  <c r="O1591" s="1"/>
  <c r="J2093"/>
  <c r="Q1442"/>
  <c r="K1442"/>
  <c r="K2093" s="1"/>
  <c r="J1441"/>
  <c r="O1441" s="1"/>
  <c r="J2247"/>
  <c r="Q1481"/>
  <c r="K1481"/>
  <c r="K2247" s="1"/>
  <c r="J2324"/>
  <c r="Q1199"/>
  <c r="K1199"/>
  <c r="K2324" s="1"/>
  <c r="J1198"/>
  <c r="O1198" s="1"/>
  <c r="J1899"/>
  <c r="Q1223"/>
  <c r="J1222"/>
  <c r="K1223"/>
  <c r="K1899" s="1"/>
  <c r="Q1264"/>
  <c r="K1264"/>
  <c r="Q1312"/>
  <c r="J1311"/>
  <c r="O1311" s="1"/>
  <c r="K1312"/>
  <c r="J2091"/>
  <c r="Q1335"/>
  <c r="K1335"/>
  <c r="K2091" s="1"/>
  <c r="J1334"/>
  <c r="Q1347"/>
  <c r="K1347"/>
  <c r="K1346" s="1"/>
  <c r="J1346"/>
  <c r="J1864"/>
  <c r="Q1466"/>
  <c r="K1466"/>
  <c r="K1864" s="1"/>
  <c r="J2249"/>
  <c r="Q1508"/>
  <c r="K1508"/>
  <c r="K2249" s="1"/>
  <c r="J2251"/>
  <c r="Q1526"/>
  <c r="K1526"/>
  <c r="K2251" s="1"/>
  <c r="J1870"/>
  <c r="Q1574"/>
  <c r="K1574"/>
  <c r="K1870" s="1"/>
  <c r="Q1590"/>
  <c r="J1935"/>
  <c r="K1590"/>
  <c r="K1935" s="1"/>
  <c r="J1589"/>
  <c r="O1589" s="1"/>
  <c r="J1902"/>
  <c r="K1226"/>
  <c r="K1902" s="1"/>
  <c r="Q1226"/>
  <c r="K1263"/>
  <c r="J1262"/>
  <c r="Q1263"/>
  <c r="J1999"/>
  <c r="K1296"/>
  <c r="K1999" s="1"/>
  <c r="Q1296"/>
  <c r="J2000"/>
  <c r="K1309"/>
  <c r="K2000" s="1"/>
  <c r="J1308"/>
  <c r="O1308" s="1"/>
  <c r="Q1309"/>
  <c r="J1913"/>
  <c r="K1385"/>
  <c r="K1913" s="1"/>
  <c r="Q1385"/>
  <c r="J1928"/>
  <c r="J1435"/>
  <c r="K1435" s="1"/>
  <c r="Q1436"/>
  <c r="J2014"/>
  <c r="J1470"/>
  <c r="O1470" s="1"/>
  <c r="Q1471"/>
  <c r="J2248"/>
  <c r="K1507"/>
  <c r="K2248" s="1"/>
  <c r="J1506"/>
  <c r="O1506" s="1"/>
  <c r="Q1507"/>
  <c r="J1868"/>
  <c r="K1544"/>
  <c r="K1868" s="1"/>
  <c r="J1543"/>
  <c r="Q1544"/>
  <c r="J1869"/>
  <c r="K1573"/>
  <c r="K1869" s="1"/>
  <c r="J1572"/>
  <c r="O1572" s="1"/>
  <c r="Q1573"/>
  <c r="J2028"/>
  <c r="K1637"/>
  <c r="K2028" s="1"/>
  <c r="Q1637"/>
  <c r="J1594"/>
  <c r="Q1595"/>
  <c r="J2099"/>
  <c r="Q1624"/>
  <c r="J1623"/>
  <c r="J2030"/>
  <c r="Q1667"/>
  <c r="K1667"/>
  <c r="K2030" s="1"/>
  <c r="J2258"/>
  <c r="Q1631"/>
  <c r="J2261"/>
  <c r="Q1676"/>
  <c r="K1628"/>
  <c r="Q1628"/>
  <c r="J2101"/>
  <c r="J1682"/>
  <c r="O1682" s="1"/>
  <c r="Q1683"/>
  <c r="J2278"/>
  <c r="K595"/>
  <c r="K2278" s="1"/>
  <c r="J2274"/>
  <c r="K591"/>
  <c r="K2274" s="1"/>
  <c r="J590"/>
  <c r="J2062"/>
  <c r="K583"/>
  <c r="K2062" s="1"/>
  <c r="J1826"/>
  <c r="K507"/>
  <c r="K1826" s="1"/>
  <c r="J2074"/>
  <c r="K478"/>
  <c r="J477"/>
  <c r="J176" s="1"/>
  <c r="K176" s="1"/>
  <c r="J2287"/>
  <c r="K399"/>
  <c r="K2287" s="1"/>
  <c r="J1715"/>
  <c r="K379"/>
  <c r="K1715" s="1"/>
  <c r="J1711"/>
  <c r="K375"/>
  <c r="K1711" s="1"/>
  <c r="L160"/>
  <c r="L401"/>
  <c r="N401" s="1"/>
  <c r="J1707"/>
  <c r="K298"/>
  <c r="K1707" s="1"/>
  <c r="I184"/>
  <c r="I166"/>
  <c r="AD77"/>
  <c r="AF78"/>
  <c r="AF77" s="1"/>
  <c r="K1633"/>
  <c r="I1632"/>
  <c r="K2094"/>
  <c r="K1473"/>
  <c r="I2231"/>
  <c r="I1237"/>
  <c r="I1218" s="1"/>
  <c r="K1238"/>
  <c r="K2231" s="1"/>
  <c r="K1352"/>
  <c r="I1351"/>
  <c r="L2304"/>
  <c r="N1277"/>
  <c r="N2304" s="1"/>
  <c r="L269"/>
  <c r="I1252"/>
  <c r="I1104"/>
  <c r="I1080"/>
  <c r="J2158"/>
  <c r="K641"/>
  <c r="K2158" s="1"/>
  <c r="J2154"/>
  <c r="K637"/>
  <c r="K2154" s="1"/>
  <c r="J2045"/>
  <c r="K620"/>
  <c r="K2045" s="1"/>
  <c r="J2281"/>
  <c r="K598"/>
  <c r="K2281" s="1"/>
  <c r="K557"/>
  <c r="K556" s="1"/>
  <c r="J556"/>
  <c r="J187" s="1"/>
  <c r="K187" s="1"/>
  <c r="J1765"/>
  <c r="K548"/>
  <c r="K1765" s="1"/>
  <c r="J1827"/>
  <c r="K508"/>
  <c r="K1827" s="1"/>
  <c r="J2386"/>
  <c r="K448"/>
  <c r="K2386" s="1"/>
  <c r="J1722"/>
  <c r="K386"/>
  <c r="K1722" s="1"/>
  <c r="J1718"/>
  <c r="K382"/>
  <c r="K1718" s="1"/>
  <c r="AD39"/>
  <c r="K39"/>
  <c r="I38"/>
  <c r="K38" s="1"/>
  <c r="J1772"/>
  <c r="J616"/>
  <c r="K616" s="1"/>
  <c r="J2190"/>
  <c r="J394"/>
  <c r="J164" s="1"/>
  <c r="I2279"/>
  <c r="I2282" s="1"/>
  <c r="K2282" s="1"/>
  <c r="K596"/>
  <c r="K2279" s="1"/>
  <c r="I590"/>
  <c r="J2354"/>
  <c r="J517"/>
  <c r="J183" s="1"/>
  <c r="I1822"/>
  <c r="K503"/>
  <c r="K1822" s="1"/>
  <c r="I498"/>
  <c r="J1703"/>
  <c r="J153"/>
  <c r="K153" s="1"/>
  <c r="K244"/>
  <c r="I243"/>
  <c r="T66"/>
  <c r="T65" s="1"/>
  <c r="T64" s="1"/>
  <c r="R65"/>
  <c r="R64" s="1"/>
  <c r="J1784"/>
  <c r="J667"/>
  <c r="K668"/>
  <c r="J2357"/>
  <c r="J707"/>
  <c r="J221" s="1"/>
  <c r="J1788"/>
  <c r="K746"/>
  <c r="K1788" s="1"/>
  <c r="J2079"/>
  <c r="K751"/>
  <c r="J2196"/>
  <c r="K947"/>
  <c r="K2196" s="1"/>
  <c r="J946"/>
  <c r="O946" s="1"/>
  <c r="Q947"/>
  <c r="I1959"/>
  <c r="K956"/>
  <c r="K1959" s="1"/>
  <c r="K1043"/>
  <c r="K1041" s="1"/>
  <c r="Q1043"/>
  <c r="J1838"/>
  <c r="K1082"/>
  <c r="K1838" s="1"/>
  <c r="J1081"/>
  <c r="Q1082"/>
  <c r="J2212"/>
  <c r="K1119"/>
  <c r="K2212" s="1"/>
  <c r="J1118"/>
  <c r="Q1119"/>
  <c r="K1133"/>
  <c r="J1132"/>
  <c r="Q1133"/>
  <c r="I1958"/>
  <c r="K955"/>
  <c r="K1958" s="1"/>
  <c r="I954"/>
  <c r="J2203"/>
  <c r="Q1006"/>
  <c r="J1967"/>
  <c r="Q1071"/>
  <c r="J1975"/>
  <c r="Q1157"/>
  <c r="J1900"/>
  <c r="Q1224"/>
  <c r="J1793"/>
  <c r="J810"/>
  <c r="J1892"/>
  <c r="Q1037"/>
  <c r="J1036"/>
  <c r="O1036" s="1"/>
  <c r="J1966"/>
  <c r="Q1070"/>
  <c r="J1069"/>
  <c r="O1069" s="1"/>
  <c r="J2085"/>
  <c r="Q1113"/>
  <c r="J1112"/>
  <c r="O1112" s="1"/>
  <c r="J1897"/>
  <c r="Q1154"/>
  <c r="J2236"/>
  <c r="Q1304"/>
  <c r="J2164"/>
  <c r="K696"/>
  <c r="K2164" s="1"/>
  <c r="J2168"/>
  <c r="K700"/>
  <c r="K2168" s="1"/>
  <c r="J2172"/>
  <c r="K704"/>
  <c r="K2172" s="1"/>
  <c r="J2360"/>
  <c r="K711"/>
  <c r="K2360" s="1"/>
  <c r="J2364"/>
  <c r="K715"/>
  <c r="K2364" s="1"/>
  <c r="J2368"/>
  <c r="K719"/>
  <c r="K2368" s="1"/>
  <c r="J2389"/>
  <c r="K883"/>
  <c r="J882"/>
  <c r="J1801"/>
  <c r="K915"/>
  <c r="K1801" s="1"/>
  <c r="K960"/>
  <c r="K959" s="1"/>
  <c r="J959"/>
  <c r="Q960"/>
  <c r="K990"/>
  <c r="Q990"/>
  <c r="J1891"/>
  <c r="K1024"/>
  <c r="K1891" s="1"/>
  <c r="J1023"/>
  <c r="O1023" s="1"/>
  <c r="Q1024"/>
  <c r="J2207"/>
  <c r="K1046"/>
  <c r="K2207" s="1"/>
  <c r="Q1046"/>
  <c r="J1839"/>
  <c r="K1106"/>
  <c r="K1839" s="1"/>
  <c r="J1105"/>
  <c r="O1105" s="1"/>
  <c r="Q1106"/>
  <c r="J1841"/>
  <c r="K1124"/>
  <c r="K1841" s="1"/>
  <c r="Q1124"/>
  <c r="J1978"/>
  <c r="Q1185"/>
  <c r="J1843"/>
  <c r="J1219"/>
  <c r="Q1220"/>
  <c r="J2088"/>
  <c r="J1231"/>
  <c r="Q1232"/>
  <c r="J1905"/>
  <c r="J1255"/>
  <c r="Q1256"/>
  <c r="J1911"/>
  <c r="Q1353"/>
  <c r="J2006"/>
  <c r="J1377"/>
  <c r="Q1378"/>
  <c r="J2243"/>
  <c r="J1393"/>
  <c r="K1393" s="1"/>
  <c r="Q1394"/>
  <c r="J2010"/>
  <c r="J1417"/>
  <c r="Q1418"/>
  <c r="J2094"/>
  <c r="Q1474"/>
  <c r="J2095"/>
  <c r="J1501"/>
  <c r="K1501" s="1"/>
  <c r="Q1502"/>
  <c r="J2252"/>
  <c r="J1556"/>
  <c r="Q1557"/>
  <c r="J2013"/>
  <c r="Q1440"/>
  <c r="K1440"/>
  <c r="K2013" s="1"/>
  <c r="J1865"/>
  <c r="Q1467"/>
  <c r="K1467"/>
  <c r="K1865" s="1"/>
  <c r="Q1521"/>
  <c r="J1520"/>
  <c r="J2230"/>
  <c r="Q1197"/>
  <c r="K1197"/>
  <c r="K2230" s="1"/>
  <c r="J1844"/>
  <c r="Q1221"/>
  <c r="K1221"/>
  <c r="K1844" s="1"/>
  <c r="J2231"/>
  <c r="Q1238"/>
  <c r="J1237"/>
  <c r="J2001"/>
  <c r="Q1310"/>
  <c r="K1310"/>
  <c r="K2001" s="1"/>
  <c r="J2002"/>
  <c r="Q1333"/>
  <c r="K1333"/>
  <c r="K2002" s="1"/>
  <c r="J1332"/>
  <c r="O1332" s="1"/>
  <c r="J2003"/>
  <c r="Q1345"/>
  <c r="K1345"/>
  <c r="J1344"/>
  <c r="J1860"/>
  <c r="Q1462"/>
  <c r="K1462"/>
  <c r="J2246"/>
  <c r="Q1480"/>
  <c r="K1480"/>
  <c r="J1479"/>
  <c r="J2018"/>
  <c r="Q1516"/>
  <c r="K1516"/>
  <c r="K2018" s="1"/>
  <c r="J1515"/>
  <c r="O1515" s="1"/>
  <c r="Q1553"/>
  <c r="K1553"/>
  <c r="K1552" s="1"/>
  <c r="J1552"/>
  <c r="Q1584"/>
  <c r="K1584"/>
  <c r="K1583" s="1"/>
  <c r="J1583"/>
  <c r="J2218"/>
  <c r="J1195"/>
  <c r="O1195" s="1"/>
  <c r="Q1196"/>
  <c r="J2089"/>
  <c r="K1261"/>
  <c r="K2089" s="1"/>
  <c r="J1260"/>
  <c r="O1260" s="1"/>
  <c r="Q1261"/>
  <c r="J2305"/>
  <c r="J2306" s="1"/>
  <c r="Q1278"/>
  <c r="J1277"/>
  <c r="J1908"/>
  <c r="K1307"/>
  <c r="K1908" s="1"/>
  <c r="J1306"/>
  <c r="O1306" s="1"/>
  <c r="Q1307"/>
  <c r="J2241"/>
  <c r="J1359"/>
  <c r="O1359" s="1"/>
  <c r="Q1360"/>
  <c r="J1859"/>
  <c r="J1433"/>
  <c r="Q1434"/>
  <c r="J1930"/>
  <c r="Q1469"/>
  <c r="K1505"/>
  <c r="Q1505"/>
  <c r="J2250"/>
  <c r="K1525"/>
  <c r="K2250" s="1"/>
  <c r="J1524"/>
  <c r="O1524" s="1"/>
  <c r="Q1525"/>
  <c r="J2253"/>
  <c r="K1558"/>
  <c r="K2253" s="1"/>
  <c r="Q1558"/>
  <c r="J2254"/>
  <c r="K1587"/>
  <c r="K2254" s="1"/>
  <c r="Q1587"/>
  <c r="J1586"/>
  <c r="O1586" s="1"/>
  <c r="K1627"/>
  <c r="K1625" s="1"/>
  <c r="Q1627"/>
  <c r="J2025"/>
  <c r="Q1593"/>
  <c r="J2026"/>
  <c r="Q1622"/>
  <c r="J1621"/>
  <c r="K1621" s="1"/>
  <c r="J2027"/>
  <c r="Q1636"/>
  <c r="J1635"/>
  <c r="O1635" s="1"/>
  <c r="Q1619"/>
  <c r="J1936"/>
  <c r="J2029"/>
  <c r="Q1666"/>
  <c r="J1665"/>
  <c r="J2256"/>
  <c r="K1599"/>
  <c r="K2256" s="1"/>
  <c r="Q1599"/>
  <c r="J2259"/>
  <c r="K1642"/>
  <c r="K2259" s="1"/>
  <c r="J1641"/>
  <c r="O1641" s="1"/>
  <c r="Q1642"/>
  <c r="J2031"/>
  <c r="J1680"/>
  <c r="K1680" s="1"/>
  <c r="Q1681"/>
  <c r="I2048"/>
  <c r="K623"/>
  <c r="K2048" s="1"/>
  <c r="J2275"/>
  <c r="K592"/>
  <c r="K2275" s="1"/>
  <c r="J2075"/>
  <c r="K479"/>
  <c r="K2075" s="1"/>
  <c r="J1712"/>
  <c r="K376"/>
  <c r="K1712" s="1"/>
  <c r="K372"/>
  <c r="J371"/>
  <c r="J1708"/>
  <c r="K299"/>
  <c r="K1708" s="1"/>
  <c r="J1704"/>
  <c r="K295"/>
  <c r="K1704" s="1"/>
  <c r="J152"/>
  <c r="K152" s="1"/>
  <c r="AD61"/>
  <c r="AF62"/>
  <c r="AF61" s="1"/>
  <c r="J167"/>
  <c r="K1543"/>
  <c r="K1594"/>
  <c r="I1460"/>
  <c r="K1417"/>
  <c r="K1222"/>
  <c r="I1064"/>
  <c r="K626"/>
  <c r="K2051" s="1"/>
  <c r="K65"/>
  <c r="K64" s="1"/>
  <c r="K1115"/>
  <c r="K502"/>
  <c r="K1821" s="1"/>
  <c r="J125"/>
  <c r="I562"/>
  <c r="P235"/>
  <c r="AF65"/>
  <c r="AF64" s="1"/>
  <c r="K1676"/>
  <c r="K2261" s="1"/>
  <c r="K1623"/>
  <c r="K1556"/>
  <c r="K1389"/>
  <c r="K2092" s="1"/>
  <c r="K1234"/>
  <c r="K1504"/>
  <c r="K1390"/>
  <c r="K1192"/>
  <c r="K1156"/>
  <c r="K1974" s="1"/>
  <c r="K1072"/>
  <c r="K1039"/>
  <c r="K1964" s="1"/>
  <c r="K814"/>
  <c r="K1796" s="1"/>
  <c r="L1218"/>
  <c r="N1218" s="1"/>
  <c r="K964"/>
  <c r="K2199" s="1"/>
  <c r="K474"/>
  <c r="K1758" s="1"/>
  <c r="K434"/>
  <c r="K1755" s="1"/>
  <c r="K430"/>
  <c r="K1751" s="1"/>
  <c r="K426"/>
  <c r="K1747" s="1"/>
  <c r="K422"/>
  <c r="K1730" s="1"/>
  <c r="K418"/>
  <c r="K1726" s="1"/>
  <c r="K389"/>
  <c r="K580"/>
  <c r="K2059" s="1"/>
  <c r="K518"/>
  <c r="R182"/>
  <c r="P159"/>
  <c r="P229"/>
  <c r="Q244"/>
  <c r="Q243" s="1"/>
  <c r="Q222"/>
  <c r="AD65"/>
  <c r="AD64" s="1"/>
  <c r="I1614"/>
  <c r="I1571"/>
  <c r="K1572"/>
  <c r="L2120"/>
  <c r="N1187"/>
  <c r="N2120" s="1"/>
  <c r="L1177"/>
  <c r="N1177" s="1"/>
  <c r="L265"/>
  <c r="N983"/>
  <c r="N982" s="1"/>
  <c r="L982"/>
  <c r="L2130"/>
  <c r="N939"/>
  <c r="N2130" s="1"/>
  <c r="L266"/>
  <c r="K2080"/>
  <c r="K815"/>
  <c r="K231" s="1"/>
  <c r="K1793"/>
  <c r="I1121"/>
  <c r="K1122"/>
  <c r="I2173"/>
  <c r="K705"/>
  <c r="K2173" s="1"/>
  <c r="J2159"/>
  <c r="K642"/>
  <c r="K2159" s="1"/>
  <c r="J2155"/>
  <c r="K638"/>
  <c r="K2155" s="1"/>
  <c r="J2151"/>
  <c r="K634"/>
  <c r="K2151" s="1"/>
  <c r="J633"/>
  <c r="J2046"/>
  <c r="K621"/>
  <c r="K2046" s="1"/>
  <c r="J2355"/>
  <c r="K600"/>
  <c r="L189"/>
  <c r="I575"/>
  <c r="L602"/>
  <c r="N575"/>
  <c r="J1766"/>
  <c r="K549"/>
  <c r="K1766" s="1"/>
  <c r="J1761"/>
  <c r="K544"/>
  <c r="K1761" s="1"/>
  <c r="L520"/>
  <c r="N498"/>
  <c r="N520" s="1"/>
  <c r="L180"/>
  <c r="J1719"/>
  <c r="K383"/>
  <c r="K1719" s="1"/>
  <c r="I2161"/>
  <c r="K693"/>
  <c r="K2161" s="1"/>
  <c r="I691"/>
  <c r="K2338"/>
  <c r="K675"/>
  <c r="K217" s="1"/>
  <c r="K104" s="1"/>
  <c r="J2138"/>
  <c r="J2139" s="1"/>
  <c r="K2139" s="1"/>
  <c r="J300"/>
  <c r="M155" s="1"/>
  <c r="O184"/>
  <c r="Q185"/>
  <c r="Q184" s="1"/>
  <c r="O157"/>
  <c r="Q158"/>
  <c r="Q157" s="1"/>
  <c r="R38"/>
  <c r="T39"/>
  <c r="T38" s="1"/>
  <c r="I2053"/>
  <c r="K628"/>
  <c r="K2053" s="1"/>
  <c r="I1771"/>
  <c r="K578"/>
  <c r="K1771" s="1"/>
  <c r="K415"/>
  <c r="I449"/>
  <c r="I1716"/>
  <c r="K380"/>
  <c r="K1716" s="1"/>
  <c r="I371"/>
  <c r="I401" s="1"/>
  <c r="I155"/>
  <c r="O155"/>
  <c r="O150" s="1"/>
  <c r="L150"/>
  <c r="K227"/>
  <c r="K226" s="1"/>
  <c r="I226"/>
  <c r="T78"/>
  <c r="AF56"/>
  <c r="AF55" s="1"/>
  <c r="AD55"/>
  <c r="I2357"/>
  <c r="I2371" s="1"/>
  <c r="K708"/>
  <c r="K2357" s="1"/>
  <c r="I707"/>
  <c r="J1787"/>
  <c r="K745"/>
  <c r="K1787" s="1"/>
  <c r="J1791"/>
  <c r="K749"/>
  <c r="K1791" s="1"/>
  <c r="K945"/>
  <c r="Q945"/>
  <c r="J1958"/>
  <c r="J954"/>
  <c r="Q955"/>
  <c r="J2201"/>
  <c r="K995"/>
  <c r="K2201" s="1"/>
  <c r="Q995"/>
  <c r="J2208"/>
  <c r="K1078"/>
  <c r="K2208" s="1"/>
  <c r="J1077"/>
  <c r="Q1078"/>
  <c r="K1117"/>
  <c r="Q1117"/>
  <c r="J2086"/>
  <c r="K1131"/>
  <c r="K2086" s="1"/>
  <c r="J1130"/>
  <c r="Q1131"/>
  <c r="Q1338"/>
  <c r="K1338"/>
  <c r="J2192"/>
  <c r="J821"/>
  <c r="J233" s="1"/>
  <c r="J1956"/>
  <c r="Q937"/>
  <c r="J936"/>
  <c r="I1888"/>
  <c r="I1941" s="1"/>
  <c r="K953"/>
  <c r="K1888" s="1"/>
  <c r="I952"/>
  <c r="J2200"/>
  <c r="Q994"/>
  <c r="J993"/>
  <c r="Q1042"/>
  <c r="J1041"/>
  <c r="J2211"/>
  <c r="Q1093"/>
  <c r="J2215"/>
  <c r="Q1138"/>
  <c r="J2123"/>
  <c r="Q1190"/>
  <c r="J2132"/>
  <c r="Q941"/>
  <c r="J2204"/>
  <c r="Q1033"/>
  <c r="J1032"/>
  <c r="O1032" s="1"/>
  <c r="J1893"/>
  <c r="Q1068"/>
  <c r="J1067"/>
  <c r="O1067" s="1"/>
  <c r="J1971"/>
  <c r="Q1111"/>
  <c r="J2214"/>
  <c r="Q1137"/>
  <c r="J1136"/>
  <c r="O1136" s="1"/>
  <c r="J1906"/>
  <c r="J1270"/>
  <c r="O1270" s="1"/>
  <c r="Q1271"/>
  <c r="J672"/>
  <c r="J216" s="1"/>
  <c r="K673"/>
  <c r="K672" s="1"/>
  <c r="K216" s="1"/>
  <c r="J2163"/>
  <c r="K695"/>
  <c r="K2163" s="1"/>
  <c r="J2167"/>
  <c r="K699"/>
  <c r="K2167" s="1"/>
  <c r="J2171"/>
  <c r="K703"/>
  <c r="K2171" s="1"/>
  <c r="J2359"/>
  <c r="K710"/>
  <c r="K2359" s="1"/>
  <c r="J2363"/>
  <c r="K714"/>
  <c r="K2363" s="1"/>
  <c r="J2367"/>
  <c r="K718"/>
  <c r="K2367" s="1"/>
  <c r="K818"/>
  <c r="K817" s="1"/>
  <c r="K232" s="1"/>
  <c r="J817"/>
  <c r="J232" s="1"/>
  <c r="J2388"/>
  <c r="K828"/>
  <c r="K2388" s="1"/>
  <c r="J1800"/>
  <c r="K914"/>
  <c r="K1800" s="1"/>
  <c r="J2082"/>
  <c r="J957"/>
  <c r="Q958"/>
  <c r="J1960"/>
  <c r="K988"/>
  <c r="K1960" s="1"/>
  <c r="J987"/>
  <c r="Q988"/>
  <c r="K1002"/>
  <c r="K1001" s="1"/>
  <c r="J1001"/>
  <c r="Q1002"/>
  <c r="K1030"/>
  <c r="K1029" s="1"/>
  <c r="J1029"/>
  <c r="Q1030"/>
  <c r="K1089"/>
  <c r="J1088"/>
  <c r="Q1089"/>
  <c r="J2213"/>
  <c r="K1120"/>
  <c r="K2213" s="1"/>
  <c r="Q1120"/>
  <c r="Q1161"/>
  <c r="K1161"/>
  <c r="K1160" s="1"/>
  <c r="J1160"/>
  <c r="J2325"/>
  <c r="Q1200"/>
  <c r="K1200"/>
  <c r="K2325" s="1"/>
  <c r="J1977"/>
  <c r="Q1184"/>
  <c r="J1192"/>
  <c r="Q1193"/>
  <c r="J1980"/>
  <c r="J1229"/>
  <c r="Q1230"/>
  <c r="J1845"/>
  <c r="J1253"/>
  <c r="Q1254"/>
  <c r="J1996"/>
  <c r="J1272"/>
  <c r="Q1273"/>
  <c r="J2238"/>
  <c r="Q1316"/>
  <c r="J1912"/>
  <c r="J1375"/>
  <c r="O1375" s="1"/>
  <c r="Q1376"/>
  <c r="J1915"/>
  <c r="J1415"/>
  <c r="O1415" s="1"/>
  <c r="Q1416"/>
  <c r="J1862"/>
  <c r="Q1464"/>
  <c r="J2016"/>
  <c r="J1498"/>
  <c r="Q1499"/>
  <c r="J2008"/>
  <c r="Q1410"/>
  <c r="J1409"/>
  <c r="O1409" s="1"/>
  <c r="J1861"/>
  <c r="Q1463"/>
  <c r="K1463"/>
  <c r="K1861" s="1"/>
  <c r="J2096"/>
  <c r="Q1519"/>
  <c r="J1518"/>
  <c r="O1518" s="1"/>
  <c r="Q1203"/>
  <c r="K1203"/>
  <c r="Q1236"/>
  <c r="K1236"/>
  <c r="J2235"/>
  <c r="Q1303"/>
  <c r="J1302"/>
  <c r="O1302" s="1"/>
  <c r="K1303"/>
  <c r="K2235" s="1"/>
  <c r="J1909"/>
  <c r="Q1331"/>
  <c r="K1331"/>
  <c r="J1330"/>
  <c r="J1910"/>
  <c r="Q1343"/>
  <c r="K1343"/>
  <c r="J1342"/>
  <c r="O1342" s="1"/>
  <c r="J2012"/>
  <c r="Q1439"/>
  <c r="K1439"/>
  <c r="K2012" s="1"/>
  <c r="J1438"/>
  <c r="O1438" s="1"/>
  <c r="Q1478"/>
  <c r="K1478"/>
  <c r="K1475" s="1"/>
  <c r="J1932"/>
  <c r="Q1514"/>
  <c r="K1514"/>
  <c r="K1932" s="1"/>
  <c r="J1513"/>
  <c r="O1513" s="1"/>
  <c r="J2097"/>
  <c r="Q1551"/>
  <c r="K1551"/>
  <c r="K2097" s="1"/>
  <c r="J1550"/>
  <c r="O1550" s="1"/>
  <c r="J2098"/>
  <c r="Q1582"/>
  <c r="K1582"/>
  <c r="K2098" s="1"/>
  <c r="J1581"/>
  <c r="O1581" s="1"/>
  <c r="J1982"/>
  <c r="K1259"/>
  <c r="K1982" s="1"/>
  <c r="Q1259"/>
  <c r="J1997"/>
  <c r="K1276"/>
  <c r="K1997" s="1"/>
  <c r="Q1276"/>
  <c r="K1300"/>
  <c r="J1299"/>
  <c r="O1299" s="1"/>
  <c r="Q1300"/>
  <c r="J1357"/>
  <c r="Q1358"/>
  <c r="J2011"/>
  <c r="Q1419"/>
  <c r="J1863"/>
  <c r="Q1465"/>
  <c r="J2017"/>
  <c r="K1500"/>
  <c r="K2017" s="1"/>
  <c r="Q1500"/>
  <c r="K1523"/>
  <c r="Q1523"/>
  <c r="J2020"/>
  <c r="K1548"/>
  <c r="K2020" s="1"/>
  <c r="J1547"/>
  <c r="O1547" s="1"/>
  <c r="Q1548"/>
  <c r="J2022"/>
  <c r="K1579"/>
  <c r="K2022" s="1"/>
  <c r="J1578"/>
  <c r="Q1579"/>
  <c r="K1617"/>
  <c r="K1873" s="1"/>
  <c r="J1873"/>
  <c r="Q1617"/>
  <c r="K1672"/>
  <c r="Q1672"/>
  <c r="J1937"/>
  <c r="Q1620"/>
  <c r="J1938"/>
  <c r="Q1634"/>
  <c r="Q1671"/>
  <c r="K1671"/>
  <c r="J1670"/>
  <c r="Q1664"/>
  <c r="J1939"/>
  <c r="J1663"/>
  <c r="O1663" s="1"/>
  <c r="J2262"/>
  <c r="Q1688"/>
  <c r="J1687"/>
  <c r="K1640"/>
  <c r="Q1640"/>
  <c r="J1678"/>
  <c r="O1678" s="1"/>
  <c r="J1940"/>
  <c r="Q1679"/>
  <c r="N2048"/>
  <c r="N2054" s="1"/>
  <c r="N618"/>
  <c r="J2276"/>
  <c r="K593"/>
  <c r="K2276" s="1"/>
  <c r="I1823"/>
  <c r="K504"/>
  <c r="K1823" s="1"/>
  <c r="J2395"/>
  <c r="J2396" s="1"/>
  <c r="K484"/>
  <c r="J483"/>
  <c r="J178" s="1"/>
  <c r="J127" s="1"/>
  <c r="J126" s="1"/>
  <c r="J1713"/>
  <c r="K377"/>
  <c r="K1713" s="1"/>
  <c r="J2058"/>
  <c r="K303"/>
  <c r="J302"/>
  <c r="J156" s="1"/>
  <c r="M105"/>
  <c r="J1705"/>
  <c r="K296"/>
  <c r="K1705" s="1"/>
  <c r="M154"/>
  <c r="Q151"/>
  <c r="K1631"/>
  <c r="K2258" s="1"/>
  <c r="I1542"/>
  <c r="K1164"/>
  <c r="K2216" s="1"/>
  <c r="K1165"/>
  <c r="K2217" s="1"/>
  <c r="K1355"/>
  <c r="K2004" s="1"/>
  <c r="K1005"/>
  <c r="K2202" s="1"/>
  <c r="K706"/>
  <c r="K2174" s="1"/>
  <c r="K1258"/>
  <c r="K1981" s="1"/>
  <c r="K1083"/>
  <c r="K1073"/>
  <c r="K2084" s="1"/>
  <c r="K851"/>
  <c r="K1833" s="1"/>
  <c r="K824"/>
  <c r="K2194" s="1"/>
  <c r="K1231"/>
  <c r="K1090"/>
  <c r="J643"/>
  <c r="K624"/>
  <c r="K2049" s="1"/>
  <c r="K509"/>
  <c r="K1828" s="1"/>
  <c r="K500"/>
  <c r="K1819" s="1"/>
  <c r="K475"/>
  <c r="K1759" s="1"/>
  <c r="K581"/>
  <c r="K2060" s="1"/>
  <c r="K554"/>
  <c r="K2077" s="1"/>
  <c r="K510"/>
  <c r="K1829" s="1"/>
  <c r="K440"/>
  <c r="N226"/>
  <c r="K161"/>
  <c r="K271"/>
  <c r="K102" s="1"/>
  <c r="K100" s="1"/>
  <c r="N174"/>
  <c r="R174" s="1"/>
  <c r="I1660"/>
  <c r="I1495"/>
  <c r="I1414"/>
  <c r="K1415"/>
  <c r="I1836"/>
  <c r="K984"/>
  <c r="K1836" s="1"/>
  <c r="I983"/>
  <c r="I2131"/>
  <c r="I2133" s="1"/>
  <c r="K940"/>
  <c r="K2131" s="1"/>
  <c r="I939"/>
  <c r="I935" s="1"/>
  <c r="J2156"/>
  <c r="K639"/>
  <c r="K2156" s="1"/>
  <c r="J2152"/>
  <c r="K635"/>
  <c r="K2152" s="1"/>
  <c r="J2047"/>
  <c r="K622"/>
  <c r="K2047" s="1"/>
  <c r="I618"/>
  <c r="K618" s="1"/>
  <c r="K208" s="1"/>
  <c r="L208"/>
  <c r="J1767"/>
  <c r="K550"/>
  <c r="K1767" s="1"/>
  <c r="K516"/>
  <c r="K515" s="1"/>
  <c r="J515"/>
  <c r="J182" s="1"/>
  <c r="J1818"/>
  <c r="K499"/>
  <c r="K1818" s="1"/>
  <c r="J498"/>
  <c r="J2130"/>
  <c r="K443"/>
  <c r="K2130" s="1"/>
  <c r="J442"/>
  <c r="J1720"/>
  <c r="K384"/>
  <c r="K1720" s="1"/>
  <c r="L722"/>
  <c r="L220"/>
  <c r="N691"/>
  <c r="R55"/>
  <c r="R54" s="1"/>
  <c r="T56"/>
  <c r="T55" s="1"/>
  <c r="T54" s="1"/>
  <c r="J2076"/>
  <c r="J552"/>
  <c r="K552" s="1"/>
  <c r="K2190"/>
  <c r="N1716"/>
  <c r="N1802" s="1"/>
  <c r="N371"/>
  <c r="Q175"/>
  <c r="Q174" s="1"/>
  <c r="O174"/>
  <c r="Q79"/>
  <c r="Q77" s="1"/>
  <c r="Q76" s="1"/>
  <c r="R79"/>
  <c r="T79" s="1"/>
  <c r="O77"/>
  <c r="O76" s="1"/>
  <c r="N707"/>
  <c r="L221"/>
  <c r="L121" s="1"/>
  <c r="J2160"/>
  <c r="K692"/>
  <c r="K2160" s="1"/>
  <c r="J691"/>
  <c r="J1786"/>
  <c r="K744"/>
  <c r="K1786" s="1"/>
  <c r="J1790"/>
  <c r="K748"/>
  <c r="K1790" s="1"/>
  <c r="K856"/>
  <c r="K855" s="1"/>
  <c r="J855"/>
  <c r="J239" s="1"/>
  <c r="J2131"/>
  <c r="J939"/>
  <c r="Q940"/>
  <c r="J1888"/>
  <c r="J952"/>
  <c r="Q953"/>
  <c r="J1836"/>
  <c r="J983"/>
  <c r="O983" s="1"/>
  <c r="Q984"/>
  <c r="K1076"/>
  <c r="K1074" s="1"/>
  <c r="Q1076"/>
  <c r="J1968"/>
  <c r="K1086"/>
  <c r="K1968" s="1"/>
  <c r="J1085"/>
  <c r="Q1086"/>
  <c r="J1973"/>
  <c r="K1129"/>
  <c r="K1973" s="1"/>
  <c r="Q1129"/>
  <c r="J2233"/>
  <c r="Q1267"/>
  <c r="J1266"/>
  <c r="O1266" s="1"/>
  <c r="J2338"/>
  <c r="J2339" s="1"/>
  <c r="K2339" s="1"/>
  <c r="J675"/>
  <c r="J217" s="1"/>
  <c r="J104" s="1"/>
  <c r="I1835"/>
  <c r="K951"/>
  <c r="K1835" s="1"/>
  <c r="I950"/>
  <c r="J1961"/>
  <c r="Q992"/>
  <c r="J1965"/>
  <c r="Q1040"/>
  <c r="Q1075"/>
  <c r="J1074"/>
  <c r="J1972"/>
  <c r="Q1128"/>
  <c r="J1127"/>
  <c r="J1898"/>
  <c r="Q1181"/>
  <c r="J1180"/>
  <c r="O1180" s="1"/>
  <c r="Q1391"/>
  <c r="J1390"/>
  <c r="J916"/>
  <c r="J918" s="1"/>
  <c r="J245"/>
  <c r="J1837"/>
  <c r="Q1066"/>
  <c r="J1065"/>
  <c r="O1065" s="1"/>
  <c r="J2210"/>
  <c r="Q1092"/>
  <c r="J1091"/>
  <c r="O1091" s="1"/>
  <c r="J2240"/>
  <c r="Q1350"/>
  <c r="J1349"/>
  <c r="O1349" s="1"/>
  <c r="J2162"/>
  <c r="K694"/>
  <c r="K2162" s="1"/>
  <c r="J2166"/>
  <c r="K698"/>
  <c r="K2166" s="1"/>
  <c r="J2170"/>
  <c r="K702"/>
  <c r="K2170" s="1"/>
  <c r="J2358"/>
  <c r="K709"/>
  <c r="K2358" s="1"/>
  <c r="J2362"/>
  <c r="K713"/>
  <c r="K2362" s="1"/>
  <c r="J2366"/>
  <c r="K717"/>
  <c r="K2366" s="1"/>
  <c r="J2370"/>
  <c r="K721"/>
  <c r="K2370" s="1"/>
  <c r="J2387"/>
  <c r="K827"/>
  <c r="J826"/>
  <c r="J1799"/>
  <c r="K913"/>
  <c r="K1799" s="1"/>
  <c r="J1959"/>
  <c r="Q956"/>
  <c r="J1889"/>
  <c r="K986"/>
  <c r="K1889" s="1"/>
  <c r="J985"/>
  <c r="O985" s="1"/>
  <c r="Q986"/>
  <c r="J1962"/>
  <c r="K1000"/>
  <c r="K1962" s="1"/>
  <c r="J999"/>
  <c r="O999" s="1"/>
  <c r="Q1000"/>
  <c r="J2083"/>
  <c r="K1028"/>
  <c r="K2083" s="1"/>
  <c r="J1027"/>
  <c r="O1027" s="1"/>
  <c r="Q1028"/>
  <c r="J1969"/>
  <c r="K1087"/>
  <c r="K1969" s="1"/>
  <c r="Q1087"/>
  <c r="J1970"/>
  <c r="K1110"/>
  <c r="K1970" s="1"/>
  <c r="J1109"/>
  <c r="O1109" s="1"/>
  <c r="Q1110"/>
  <c r="J2087"/>
  <c r="K1159"/>
  <c r="K2087" s="1"/>
  <c r="Q1159"/>
  <c r="J2121"/>
  <c r="J1187"/>
  <c r="Q1188"/>
  <c r="J2124"/>
  <c r="Q1191"/>
  <c r="J1904"/>
  <c r="Q1228"/>
  <c r="J2232"/>
  <c r="Q1239"/>
  <c r="J2234"/>
  <c r="Q1268"/>
  <c r="J1998"/>
  <c r="J1294"/>
  <c r="Q1295"/>
  <c r="J1858"/>
  <c r="J1373"/>
  <c r="Q1374"/>
  <c r="J2242"/>
  <c r="J1381"/>
  <c r="Q1382"/>
  <c r="J2114"/>
  <c r="J2115" s="1"/>
  <c r="K2115" s="1"/>
  <c r="J1412"/>
  <c r="Q1413"/>
  <c r="J2244"/>
  <c r="J1446"/>
  <c r="Q1447"/>
  <c r="J1931"/>
  <c r="J1496"/>
  <c r="Q1497"/>
  <c r="J1914"/>
  <c r="Q1408"/>
  <c r="J1407"/>
  <c r="O1407" s="1"/>
  <c r="Q1444"/>
  <c r="K1444"/>
  <c r="J1443"/>
  <c r="J2019"/>
  <c r="Q1517"/>
  <c r="J1871"/>
  <c r="Q1575"/>
  <c r="J2331"/>
  <c r="J2332" s="1"/>
  <c r="K2332" s="1"/>
  <c r="Q1202"/>
  <c r="J1201"/>
  <c r="O1201" s="1"/>
  <c r="K1202"/>
  <c r="K2331" s="1"/>
  <c r="J1903"/>
  <c r="Q1227"/>
  <c r="K1227"/>
  <c r="K1903" s="1"/>
  <c r="Q1301"/>
  <c r="K1301"/>
  <c r="J1857"/>
  <c r="Q1329"/>
  <c r="K1329"/>
  <c r="K1857" s="1"/>
  <c r="J1328"/>
  <c r="O1328" s="1"/>
  <c r="Q1337"/>
  <c r="K1337"/>
  <c r="K1336" s="1"/>
  <c r="J1336"/>
  <c r="J1929"/>
  <c r="Q1437"/>
  <c r="K1437"/>
  <c r="K1929" s="1"/>
  <c r="J2015"/>
  <c r="Q1472"/>
  <c r="K1472"/>
  <c r="K2015" s="1"/>
  <c r="J1867"/>
  <c r="Q1512"/>
  <c r="K1512"/>
  <c r="K1867" s="1"/>
  <c r="J2021"/>
  <c r="Q1549"/>
  <c r="K1549"/>
  <c r="K2021" s="1"/>
  <c r="J2023"/>
  <c r="Q1580"/>
  <c r="K1580"/>
  <c r="K2023" s="1"/>
  <c r="J2122"/>
  <c r="Q1189"/>
  <c r="K1235"/>
  <c r="Q1235"/>
  <c r="J2090"/>
  <c r="K1298"/>
  <c r="K2090" s="1"/>
  <c r="J1297"/>
  <c r="O1297" s="1"/>
  <c r="Q1298"/>
  <c r="J2005"/>
  <c r="Q1356"/>
  <c r="J2007"/>
  <c r="K1387"/>
  <c r="K2007" s="1"/>
  <c r="J1386"/>
  <c r="O1386" s="1"/>
  <c r="Q1387"/>
  <c r="J2245"/>
  <c r="Q1448"/>
  <c r="J1866"/>
  <c r="K1511"/>
  <c r="K1866" s="1"/>
  <c r="J1510"/>
  <c r="O1510" s="1"/>
  <c r="Q1511"/>
  <c r="J1933"/>
  <c r="K1546"/>
  <c r="K1933" s="1"/>
  <c r="J1545"/>
  <c r="O1545" s="1"/>
  <c r="Q1546"/>
  <c r="J1934"/>
  <c r="K1577"/>
  <c r="K1934" s="1"/>
  <c r="Q1577"/>
  <c r="J2255"/>
  <c r="J1597"/>
  <c r="Q1598"/>
  <c r="K1639"/>
  <c r="K1638" s="1"/>
  <c r="J1638"/>
  <c r="Q1639"/>
  <c r="J1872"/>
  <c r="Q1616"/>
  <c r="J1615"/>
  <c r="O1615" s="1"/>
  <c r="Q1626"/>
  <c r="J1625"/>
  <c r="J2100"/>
  <c r="Q1669"/>
  <c r="K1669"/>
  <c r="K2100" s="1"/>
  <c r="J1668"/>
  <c r="O1668" s="1"/>
  <c r="Q1662"/>
  <c r="J1661"/>
  <c r="O1661" s="1"/>
  <c r="J2257"/>
  <c r="K1630"/>
  <c r="K2257" s="1"/>
  <c r="J1629"/>
  <c r="O1629" s="1"/>
  <c r="Q1630"/>
  <c r="J2260"/>
  <c r="J1674"/>
  <c r="O1674" s="1"/>
  <c r="Q1675"/>
  <c r="J1684"/>
  <c r="Q1685"/>
  <c r="J2277"/>
  <c r="K594"/>
  <c r="K2277" s="1"/>
  <c r="N590"/>
  <c r="L192"/>
  <c r="J2061"/>
  <c r="K582"/>
  <c r="K2061" s="1"/>
  <c r="J1770"/>
  <c r="K577"/>
  <c r="K1770" s="1"/>
  <c r="I1762"/>
  <c r="I1802" s="1"/>
  <c r="K545"/>
  <c r="K1762" s="1"/>
  <c r="J2286"/>
  <c r="J2288" s="1"/>
  <c r="K2288" s="1"/>
  <c r="K398"/>
  <c r="J397"/>
  <c r="J165" s="1"/>
  <c r="J129" s="1"/>
  <c r="K391"/>
  <c r="K390" s="1"/>
  <c r="J390"/>
  <c r="J162" s="1"/>
  <c r="K162" s="1"/>
  <c r="J1714"/>
  <c r="K378"/>
  <c r="K1714" s="1"/>
  <c r="J1710"/>
  <c r="K374"/>
  <c r="K1710" s="1"/>
  <c r="K1709"/>
  <c r="K330"/>
  <c r="K333" s="1"/>
  <c r="K321" s="1"/>
  <c r="J1706"/>
  <c r="K297"/>
  <c r="W39"/>
  <c r="N38"/>
  <c r="W38" s="1"/>
  <c r="P167"/>
  <c r="P166" s="1"/>
  <c r="M166"/>
  <c r="K1665"/>
  <c r="K1635"/>
  <c r="K1624"/>
  <c r="K2099" s="1"/>
  <c r="K1684"/>
  <c r="K1578"/>
  <c r="K1471"/>
  <c r="K1436"/>
  <c r="K1928" s="1"/>
  <c r="K1315"/>
  <c r="K2237" s="1"/>
  <c r="K1445"/>
  <c r="K1293"/>
  <c r="K1907" s="1"/>
  <c r="K1225"/>
  <c r="K1901" s="1"/>
  <c r="K1354"/>
  <c r="I861"/>
  <c r="K812"/>
  <c r="K1794" s="1"/>
  <c r="K1257"/>
  <c r="K1520"/>
  <c r="K1126"/>
  <c r="K1896" s="1"/>
  <c r="K1085"/>
  <c r="K1044"/>
  <c r="K1034"/>
  <c r="K2205" s="1"/>
  <c r="K994"/>
  <c r="K2200" s="1"/>
  <c r="K944"/>
  <c r="K1272"/>
  <c r="J469"/>
  <c r="K625"/>
  <c r="K2050" s="1"/>
  <c r="K505"/>
  <c r="K1824" s="1"/>
  <c r="I486"/>
  <c r="K437"/>
  <c r="K432"/>
  <c r="K1753" s="1"/>
  <c r="K428"/>
  <c r="K1749" s="1"/>
  <c r="K424"/>
  <c r="K1745" s="1"/>
  <c r="K420"/>
  <c r="K1728" s="1"/>
  <c r="K416"/>
  <c r="K1724" s="1"/>
  <c r="K301"/>
  <c r="P206"/>
  <c r="K441"/>
  <c r="K2120" s="1"/>
  <c r="K293"/>
  <c r="Q229"/>
  <c r="K631"/>
  <c r="K630" s="1"/>
  <c r="K481"/>
  <c r="K480" s="1"/>
  <c r="Q235"/>
  <c r="V20" l="1"/>
  <c r="S20"/>
  <c r="K943"/>
  <c r="K394"/>
  <c r="K164" s="1"/>
  <c r="J449"/>
  <c r="I2263"/>
  <c r="I2032"/>
  <c r="K1132"/>
  <c r="AD54"/>
  <c r="M106"/>
  <c r="M26" s="1"/>
  <c r="V26" s="1"/>
  <c r="Q1638"/>
  <c r="O1638"/>
  <c r="Q1597"/>
  <c r="O1597"/>
  <c r="Q1446"/>
  <c r="O1446"/>
  <c r="K1294"/>
  <c r="O1294"/>
  <c r="Q1127"/>
  <c r="O1127"/>
  <c r="Q1578"/>
  <c r="O1578"/>
  <c r="Q1272"/>
  <c r="O1272"/>
  <c r="Q1001"/>
  <c r="O1001"/>
  <c r="Q954"/>
  <c r="O954"/>
  <c r="Q1680"/>
  <c r="O1680"/>
  <c r="K1433"/>
  <c r="O1433"/>
  <c r="Q1344"/>
  <c r="O1344"/>
  <c r="Q1520"/>
  <c r="O1520"/>
  <c r="Q1501"/>
  <c r="O1501"/>
  <c r="Q1393"/>
  <c r="O1393"/>
  <c r="K1255"/>
  <c r="O1255"/>
  <c r="Q1118"/>
  <c r="O1118"/>
  <c r="K1081"/>
  <c r="O1081"/>
  <c r="Q1222"/>
  <c r="O1222"/>
  <c r="Q1257"/>
  <c r="O1257"/>
  <c r="Q1114"/>
  <c r="O1114"/>
  <c r="Q962"/>
  <c r="O962"/>
  <c r="Q1083"/>
  <c r="O1083"/>
  <c r="Q1044"/>
  <c r="O1044"/>
  <c r="U37"/>
  <c r="L36"/>
  <c r="U36" s="1"/>
  <c r="R37"/>
  <c r="O262"/>
  <c r="Q262" s="1"/>
  <c r="L110"/>
  <c r="N262"/>
  <c r="I262"/>
  <c r="K262" s="1"/>
  <c r="O2390"/>
  <c r="P2390" s="1"/>
  <c r="L27"/>
  <c r="N117"/>
  <c r="P117" s="1"/>
  <c r="J159"/>
  <c r="K707"/>
  <c r="K221" s="1"/>
  <c r="AF54"/>
  <c r="N935"/>
  <c r="N1689" s="1"/>
  <c r="Q1390"/>
  <c r="O1390"/>
  <c r="Q1074"/>
  <c r="O1074"/>
  <c r="Q1670"/>
  <c r="O1670"/>
  <c r="Q1498"/>
  <c r="O1498"/>
  <c r="Q1253"/>
  <c r="O1253"/>
  <c r="Q1160"/>
  <c r="O1160"/>
  <c r="Q987"/>
  <c r="O987"/>
  <c r="Q957"/>
  <c r="O957"/>
  <c r="Q1041"/>
  <c r="O1041"/>
  <c r="O936"/>
  <c r="J935"/>
  <c r="O935" s="1"/>
  <c r="Q1130"/>
  <c r="O1130"/>
  <c r="Q1583"/>
  <c r="O1583"/>
  <c r="Q1237"/>
  <c r="O1237"/>
  <c r="Q1377"/>
  <c r="O1377"/>
  <c r="Q1231"/>
  <c r="O1231"/>
  <c r="Q959"/>
  <c r="O959"/>
  <c r="Q1346"/>
  <c r="O1346"/>
  <c r="Q1503"/>
  <c r="O1503"/>
  <c r="Q1233"/>
  <c r="O1233"/>
  <c r="J949"/>
  <c r="O949" s="1"/>
  <c r="O950"/>
  <c r="Q1412"/>
  <c r="O1412"/>
  <c r="Q1187"/>
  <c r="O1187"/>
  <c r="Q952"/>
  <c r="O952"/>
  <c r="Q1229"/>
  <c r="O1229"/>
  <c r="Q1088"/>
  <c r="O1088"/>
  <c r="Q1552"/>
  <c r="O1552"/>
  <c r="K1219"/>
  <c r="O1219"/>
  <c r="Q1543"/>
  <c r="O1543"/>
  <c r="Q1262"/>
  <c r="O1262"/>
  <c r="Q1334"/>
  <c r="O1334"/>
  <c r="O264"/>
  <c r="Q264" s="1"/>
  <c r="L113"/>
  <c r="N264"/>
  <c r="I264"/>
  <c r="K264" s="1"/>
  <c r="Q1684"/>
  <c r="O1684"/>
  <c r="Q1336"/>
  <c r="O1336"/>
  <c r="Q1443"/>
  <c r="O1443"/>
  <c r="Q1381"/>
  <c r="O1381"/>
  <c r="Q1625"/>
  <c r="O1625"/>
  <c r="K1496"/>
  <c r="O1496"/>
  <c r="Q1373"/>
  <c r="O1373"/>
  <c r="Q1085"/>
  <c r="O1085"/>
  <c r="Q939"/>
  <c r="O939"/>
  <c r="Q1687"/>
  <c r="O1687"/>
  <c r="Q1357"/>
  <c r="O1357"/>
  <c r="Q1330"/>
  <c r="O1330"/>
  <c r="Q1192"/>
  <c r="O1192"/>
  <c r="Q1029"/>
  <c r="O1029"/>
  <c r="Q993"/>
  <c r="O993"/>
  <c r="Q1077"/>
  <c r="O1077"/>
  <c r="Q1665"/>
  <c r="O1665"/>
  <c r="Q1621"/>
  <c r="O1621"/>
  <c r="Q1277"/>
  <c r="O1277"/>
  <c r="Q1479"/>
  <c r="O1479"/>
  <c r="Q1556"/>
  <c r="O1556"/>
  <c r="Q1417"/>
  <c r="O1417"/>
  <c r="Q1132"/>
  <c r="O1132"/>
  <c r="Q1623"/>
  <c r="O1623"/>
  <c r="Q1594"/>
  <c r="O1594"/>
  <c r="Q1435"/>
  <c r="O1435"/>
  <c r="Q1475"/>
  <c r="O1475"/>
  <c r="Q1379"/>
  <c r="O1379"/>
  <c r="Q1072"/>
  <c r="O1072"/>
  <c r="N37"/>
  <c r="N128"/>
  <c r="O2288" s="1"/>
  <c r="P2288" s="1"/>
  <c r="I1179"/>
  <c r="L1178"/>
  <c r="L260" s="1"/>
  <c r="L259" s="1"/>
  <c r="N259" s="1"/>
  <c r="N1179"/>
  <c r="N1178" s="1"/>
  <c r="K1663"/>
  <c r="L1689"/>
  <c r="N125"/>
  <c r="N124" s="1"/>
  <c r="L124"/>
  <c r="L35" s="1"/>
  <c r="K261"/>
  <c r="K1377"/>
  <c r="S26"/>
  <c r="U22"/>
  <c r="R22"/>
  <c r="T22" s="1"/>
  <c r="I22"/>
  <c r="N22"/>
  <c r="W22" s="1"/>
  <c r="I34"/>
  <c r="AD35"/>
  <c r="AD34" s="1"/>
  <c r="K1446"/>
  <c r="K1670"/>
  <c r="I2175"/>
  <c r="K590"/>
  <c r="AD37"/>
  <c r="AD36" s="1"/>
  <c r="I36"/>
  <c r="J2102"/>
  <c r="I1874"/>
  <c r="O2371"/>
  <c r="P2371" s="1"/>
  <c r="N121"/>
  <c r="K2138"/>
  <c r="K300"/>
  <c r="K2014"/>
  <c r="K1470"/>
  <c r="K1706"/>
  <c r="L289"/>
  <c r="Q1661"/>
  <c r="K1661"/>
  <c r="Q1615"/>
  <c r="J1614"/>
  <c r="Q1201"/>
  <c r="K1201"/>
  <c r="Q1091"/>
  <c r="K1091"/>
  <c r="Q983"/>
  <c r="J982"/>
  <c r="J235"/>
  <c r="K239"/>
  <c r="K235" s="1"/>
  <c r="J180"/>
  <c r="J520"/>
  <c r="J210"/>
  <c r="K210" s="1"/>
  <c r="K643"/>
  <c r="K2395"/>
  <c r="K2396" s="1"/>
  <c r="K483"/>
  <c r="K178" s="1"/>
  <c r="K127" s="1"/>
  <c r="K126" s="1"/>
  <c r="Q1663"/>
  <c r="J1660"/>
  <c r="Q1547"/>
  <c r="K1547"/>
  <c r="Q1415"/>
  <c r="J1414"/>
  <c r="K1414" s="1"/>
  <c r="Q1136"/>
  <c r="K1136"/>
  <c r="Q1032"/>
  <c r="K1032"/>
  <c r="L123"/>
  <c r="I150"/>
  <c r="P155"/>
  <c r="Q155" s="1"/>
  <c r="J155"/>
  <c r="M123" s="1"/>
  <c r="K691"/>
  <c r="I722"/>
  <c r="K2355"/>
  <c r="K599"/>
  <c r="J209"/>
  <c r="K209" s="1"/>
  <c r="K633"/>
  <c r="K2072"/>
  <c r="K388"/>
  <c r="Q1641"/>
  <c r="K1641"/>
  <c r="Q1359"/>
  <c r="K1359"/>
  <c r="J885"/>
  <c r="J242"/>
  <c r="J830"/>
  <c r="J230"/>
  <c r="J229" s="1"/>
  <c r="K2079"/>
  <c r="K750"/>
  <c r="K224" s="1"/>
  <c r="Q1308"/>
  <c r="K1308"/>
  <c r="Q1589"/>
  <c r="J1588"/>
  <c r="O1588" s="1"/>
  <c r="K1589"/>
  <c r="Q1311"/>
  <c r="K1311"/>
  <c r="Q1198"/>
  <c r="K1198"/>
  <c r="Q1354"/>
  <c r="J1351"/>
  <c r="K1351" s="1"/>
  <c r="Q1025"/>
  <c r="K1025"/>
  <c r="K1798"/>
  <c r="K911"/>
  <c r="K918" s="1"/>
  <c r="K900" s="1"/>
  <c r="K2082"/>
  <c r="K957"/>
  <c r="Q950"/>
  <c r="Q949"/>
  <c r="J173"/>
  <c r="K173" s="1"/>
  <c r="K446"/>
  <c r="J2263"/>
  <c r="K2263" s="1"/>
  <c r="K1443"/>
  <c r="N722"/>
  <c r="J2064"/>
  <c r="K2064" s="1"/>
  <c r="K952"/>
  <c r="K449"/>
  <c r="K408" s="1"/>
  <c r="N602"/>
  <c r="K1615"/>
  <c r="K1130"/>
  <c r="K1233"/>
  <c r="K1412"/>
  <c r="K1597"/>
  <c r="K1229"/>
  <c r="J121"/>
  <c r="K1237"/>
  <c r="K1262"/>
  <c r="Q167"/>
  <c r="Q166" s="1"/>
  <c r="K821"/>
  <c r="K233" s="1"/>
  <c r="K1702"/>
  <c r="K292"/>
  <c r="K2286"/>
  <c r="K397"/>
  <c r="K165" s="1"/>
  <c r="K129" s="1"/>
  <c r="N192"/>
  <c r="N115" s="1"/>
  <c r="O192"/>
  <c r="Q192" s="1"/>
  <c r="L115"/>
  <c r="I115" s="1"/>
  <c r="K115" s="1"/>
  <c r="I192"/>
  <c r="K192" s="1"/>
  <c r="J1383"/>
  <c r="O1383" s="1"/>
  <c r="Q1386"/>
  <c r="K1386"/>
  <c r="Q1065"/>
  <c r="J1064"/>
  <c r="K1065"/>
  <c r="Q1266"/>
  <c r="K1266"/>
  <c r="K182"/>
  <c r="I208"/>
  <c r="I206" s="1"/>
  <c r="L111"/>
  <c r="I111" s="1"/>
  <c r="K111" s="1"/>
  <c r="N208"/>
  <c r="L206"/>
  <c r="O208"/>
  <c r="R211"/>
  <c r="K2058"/>
  <c r="K302"/>
  <c r="Q1299"/>
  <c r="K1299"/>
  <c r="Q1581"/>
  <c r="K1581"/>
  <c r="Q1550"/>
  <c r="K1550"/>
  <c r="Q1513"/>
  <c r="K1513"/>
  <c r="Q1409"/>
  <c r="K1409"/>
  <c r="Q1375"/>
  <c r="J1372"/>
  <c r="Q936"/>
  <c r="I189"/>
  <c r="N189"/>
  <c r="O189"/>
  <c r="L188"/>
  <c r="I266"/>
  <c r="K266" s="1"/>
  <c r="N266"/>
  <c r="N97" s="1"/>
  <c r="N96" s="1"/>
  <c r="O266"/>
  <c r="Q266" s="1"/>
  <c r="L97"/>
  <c r="J131"/>
  <c r="K167"/>
  <c r="Q1635"/>
  <c r="J1632"/>
  <c r="Q1306"/>
  <c r="K1306"/>
  <c r="J1305"/>
  <c r="O1305" s="1"/>
  <c r="K2246"/>
  <c r="K1479"/>
  <c r="Q1219"/>
  <c r="J1218"/>
  <c r="Q1105"/>
  <c r="K1105"/>
  <c r="Q1112"/>
  <c r="K1112"/>
  <c r="J680"/>
  <c r="K680" s="1"/>
  <c r="K659" s="1"/>
  <c r="J214"/>
  <c r="J651"/>
  <c r="J207"/>
  <c r="AD38"/>
  <c r="AF39"/>
  <c r="AF38" s="1"/>
  <c r="I160"/>
  <c r="N160"/>
  <c r="N159" s="1"/>
  <c r="O160"/>
  <c r="L159"/>
  <c r="L107"/>
  <c r="K2074"/>
  <c r="K477"/>
  <c r="Q1682"/>
  <c r="K1682"/>
  <c r="Q1572"/>
  <c r="J1571"/>
  <c r="Q1506"/>
  <c r="K1506"/>
  <c r="J1460"/>
  <c r="K1460" s="1"/>
  <c r="Q1470"/>
  <c r="Q1441"/>
  <c r="K1441"/>
  <c r="Q1591"/>
  <c r="K1591"/>
  <c r="Q1182"/>
  <c r="K1182"/>
  <c r="Q1038"/>
  <c r="K1038"/>
  <c r="J191"/>
  <c r="J602"/>
  <c r="J185"/>
  <c r="J562"/>
  <c r="K543"/>
  <c r="K562" s="1"/>
  <c r="K536" s="1"/>
  <c r="J1802"/>
  <c r="K1802" s="1"/>
  <c r="I651"/>
  <c r="J2133"/>
  <c r="K2133" s="1"/>
  <c r="K939"/>
  <c r="K1088"/>
  <c r="N155"/>
  <c r="K155" s="1"/>
  <c r="K810"/>
  <c r="K1614"/>
  <c r="K993"/>
  <c r="K1503"/>
  <c r="K1687"/>
  <c r="K1077"/>
  <c r="K1498"/>
  <c r="K371"/>
  <c r="I2054"/>
  <c r="K1118"/>
  <c r="J1941"/>
  <c r="K1941" s="1"/>
  <c r="J2326"/>
  <c r="K2326" s="1"/>
  <c r="K962"/>
  <c r="J2054"/>
  <c r="K2306"/>
  <c r="K1372"/>
  <c r="K2073"/>
  <c r="K436"/>
  <c r="J175"/>
  <c r="J174" s="1"/>
  <c r="J486"/>
  <c r="J37"/>
  <c r="J128"/>
  <c r="Q1674"/>
  <c r="K1674"/>
  <c r="Q1668"/>
  <c r="K1668"/>
  <c r="Q1328"/>
  <c r="J1327"/>
  <c r="Q1407"/>
  <c r="J1406"/>
  <c r="O1406" s="1"/>
  <c r="K1407"/>
  <c r="Q1496"/>
  <c r="J1495"/>
  <c r="Q1109"/>
  <c r="K1109"/>
  <c r="K245"/>
  <c r="K243" s="1"/>
  <c r="J243"/>
  <c r="Q1180"/>
  <c r="J1177"/>
  <c r="K1180"/>
  <c r="I949"/>
  <c r="K950"/>
  <c r="J722"/>
  <c r="J220"/>
  <c r="J219" s="1"/>
  <c r="I982"/>
  <c r="K983"/>
  <c r="M150"/>
  <c r="M273" s="1"/>
  <c r="J154"/>
  <c r="P154"/>
  <c r="N154"/>
  <c r="Q1678"/>
  <c r="J1677"/>
  <c r="K1678"/>
  <c r="K1910"/>
  <c r="K1342"/>
  <c r="K1909"/>
  <c r="K1330"/>
  <c r="Q1302"/>
  <c r="K1302"/>
  <c r="Q1270"/>
  <c r="J1269"/>
  <c r="K1270"/>
  <c r="I602"/>
  <c r="K575"/>
  <c r="O260"/>
  <c r="I260"/>
  <c r="L108"/>
  <c r="N260"/>
  <c r="Q1260"/>
  <c r="K1260"/>
  <c r="Q1195"/>
  <c r="K1195"/>
  <c r="Q1515"/>
  <c r="K1515"/>
  <c r="K1860"/>
  <c r="K1461"/>
  <c r="K2003"/>
  <c r="K1344"/>
  <c r="Q1023"/>
  <c r="J1022"/>
  <c r="O1022" s="1"/>
  <c r="K1023"/>
  <c r="Q1069"/>
  <c r="K1069"/>
  <c r="K1784"/>
  <c r="K667"/>
  <c r="N269"/>
  <c r="N116" s="1"/>
  <c r="O2306" s="1"/>
  <c r="L116"/>
  <c r="I116" s="1"/>
  <c r="K116" s="1"/>
  <c r="O269"/>
  <c r="Q269" s="1"/>
  <c r="I269"/>
  <c r="K269" s="1"/>
  <c r="Q1339"/>
  <c r="K1339"/>
  <c r="Q1155"/>
  <c r="J1150"/>
  <c r="O1150" s="1"/>
  <c r="K1155"/>
  <c r="Q1004"/>
  <c r="K1004"/>
  <c r="Q1314"/>
  <c r="K1314"/>
  <c r="K1187"/>
  <c r="I1177"/>
  <c r="K1277"/>
  <c r="I1269"/>
  <c r="O268"/>
  <c r="Q268" s="1"/>
  <c r="I268"/>
  <c r="K268" s="1"/>
  <c r="L114"/>
  <c r="N268"/>
  <c r="T77"/>
  <c r="T76" s="1"/>
  <c r="J2175"/>
  <c r="K2175" s="1"/>
  <c r="K1571"/>
  <c r="K1127"/>
  <c r="K987"/>
  <c r="K469"/>
  <c r="K1114"/>
  <c r="J401"/>
  <c r="K401" s="1"/>
  <c r="K364" s="1"/>
  <c r="K954"/>
  <c r="K2102"/>
  <c r="J305"/>
  <c r="J2390"/>
  <c r="K2390" s="1"/>
  <c r="K848"/>
  <c r="K1375"/>
  <c r="Q1629"/>
  <c r="K1629"/>
  <c r="Q1545"/>
  <c r="K1545"/>
  <c r="J1542"/>
  <c r="Q1510"/>
  <c r="K1510"/>
  <c r="J1509"/>
  <c r="O1509" s="1"/>
  <c r="Q1297"/>
  <c r="K1297"/>
  <c r="Q1294"/>
  <c r="J1291"/>
  <c r="Q1027"/>
  <c r="K1027"/>
  <c r="J996"/>
  <c r="Q999"/>
  <c r="K999"/>
  <c r="Q985"/>
  <c r="K985"/>
  <c r="K2387"/>
  <c r="K826"/>
  <c r="Q1349"/>
  <c r="K1349"/>
  <c r="O221"/>
  <c r="Q221" s="1"/>
  <c r="I221"/>
  <c r="I121" s="1"/>
  <c r="N221"/>
  <c r="I220"/>
  <c r="N220"/>
  <c r="O220"/>
  <c r="L219"/>
  <c r="L120"/>
  <c r="J170"/>
  <c r="K170" s="1"/>
  <c r="K442"/>
  <c r="M103"/>
  <c r="J105"/>
  <c r="J103" s="1"/>
  <c r="N105"/>
  <c r="Q1438"/>
  <c r="K1438"/>
  <c r="Q1342"/>
  <c r="J1341"/>
  <c r="O1341" s="1"/>
  <c r="Q1518"/>
  <c r="K1518"/>
  <c r="Q1067"/>
  <c r="K1067"/>
  <c r="I180"/>
  <c r="N180"/>
  <c r="N179" s="1"/>
  <c r="O180"/>
  <c r="L179"/>
  <c r="N265"/>
  <c r="N99" s="1"/>
  <c r="N98" s="1"/>
  <c r="O2125" s="1"/>
  <c r="P2125" s="1"/>
  <c r="O265"/>
  <c r="Q265" s="1"/>
  <c r="L99"/>
  <c r="I265"/>
  <c r="K265" s="1"/>
  <c r="K2354"/>
  <c r="K517"/>
  <c r="K183" s="1"/>
  <c r="J124"/>
  <c r="J35" s="1"/>
  <c r="K125"/>
  <c r="K124" s="1"/>
  <c r="K35" s="1"/>
  <c r="K34" s="1"/>
  <c r="Q1586"/>
  <c r="K1586"/>
  <c r="Q1524"/>
  <c r="K1524"/>
  <c r="Q1433"/>
  <c r="J1432"/>
  <c r="Q1332"/>
  <c r="K1332"/>
  <c r="Q1255"/>
  <c r="J1252"/>
  <c r="K2389"/>
  <c r="K882"/>
  <c r="K885" s="1"/>
  <c r="K873" s="1"/>
  <c r="Q1036"/>
  <c r="J1035"/>
  <c r="O1035" s="1"/>
  <c r="K1036"/>
  <c r="Q1081"/>
  <c r="J1080"/>
  <c r="K1080" s="1"/>
  <c r="Q946"/>
  <c r="K946"/>
  <c r="I520"/>
  <c r="K498"/>
  <c r="Q1107"/>
  <c r="J1104"/>
  <c r="K1107"/>
  <c r="Q1163"/>
  <c r="K1163"/>
  <c r="Q943"/>
  <c r="J267"/>
  <c r="Q1122"/>
  <c r="J1121"/>
  <c r="K2081"/>
  <c r="K853"/>
  <c r="K1785"/>
  <c r="K742"/>
  <c r="K151"/>
  <c r="O190"/>
  <c r="Q190" s="1"/>
  <c r="I190"/>
  <c r="K190" s="1"/>
  <c r="L112"/>
  <c r="N190"/>
  <c r="J1874"/>
  <c r="K1373"/>
  <c r="R77"/>
  <c r="R76" s="1"/>
  <c r="K1381"/>
  <c r="K1253"/>
  <c r="L1690"/>
  <c r="K1064"/>
  <c r="J2032"/>
  <c r="K2032" s="1"/>
  <c r="J2371"/>
  <c r="K2371" s="1"/>
  <c r="J114"/>
  <c r="K936"/>
  <c r="J2125"/>
  <c r="K2125" s="1"/>
  <c r="K1328"/>
  <c r="N1690" l="1"/>
  <c r="K1269"/>
  <c r="L651"/>
  <c r="N651" s="1"/>
  <c r="K935"/>
  <c r="K121"/>
  <c r="K996"/>
  <c r="Q1542"/>
  <c r="O1542"/>
  <c r="Q1177"/>
  <c r="O1177"/>
  <c r="Q1121"/>
  <c r="O1121"/>
  <c r="Q1252"/>
  <c r="O1252"/>
  <c r="Q1432"/>
  <c r="O1432"/>
  <c r="O1677"/>
  <c r="J1689"/>
  <c r="Q1689" s="1"/>
  <c r="Q1327"/>
  <c r="O1327"/>
  <c r="Q1460"/>
  <c r="O1460"/>
  <c r="Q1218"/>
  <c r="O1218"/>
  <c r="Q1372"/>
  <c r="O1372"/>
  <c r="Q1064"/>
  <c r="O1064"/>
  <c r="Q982"/>
  <c r="O982"/>
  <c r="I113"/>
  <c r="K113" s="1"/>
  <c r="N113"/>
  <c r="O2115" s="1"/>
  <c r="P2115" s="1"/>
  <c r="K602"/>
  <c r="K569" s="1"/>
  <c r="Q1104"/>
  <c r="O1104"/>
  <c r="Q996"/>
  <c r="O996"/>
  <c r="Q1269"/>
  <c r="O1269"/>
  <c r="Q1495"/>
  <c r="O1495"/>
  <c r="Q1571"/>
  <c r="O1571"/>
  <c r="Q1632"/>
  <c r="O1632"/>
  <c r="N36"/>
  <c r="W36" s="1"/>
  <c r="W37"/>
  <c r="N27"/>
  <c r="I27"/>
  <c r="R27"/>
  <c r="T27" s="1"/>
  <c r="I110"/>
  <c r="K110" s="1"/>
  <c r="N110"/>
  <c r="O2032" s="1"/>
  <c r="P2032" s="1"/>
  <c r="Q1291"/>
  <c r="O1291"/>
  <c r="Q1414"/>
  <c r="O1414"/>
  <c r="Q1660"/>
  <c r="O1660"/>
  <c r="Q1614"/>
  <c r="O1614"/>
  <c r="Q1080"/>
  <c r="O1080"/>
  <c r="Q1351"/>
  <c r="O1351"/>
  <c r="I1178"/>
  <c r="K1179"/>
  <c r="K1178" s="1"/>
  <c r="T37"/>
  <c r="T36" s="1"/>
  <c r="R36"/>
  <c r="K1660"/>
  <c r="P124"/>
  <c r="O2102"/>
  <c r="P2102" s="1"/>
  <c r="N35"/>
  <c r="U35"/>
  <c r="R35"/>
  <c r="L34"/>
  <c r="U34" s="1"/>
  <c r="K1542"/>
  <c r="K1218"/>
  <c r="AD22"/>
  <c r="AF22" s="1"/>
  <c r="K22"/>
  <c r="K1177"/>
  <c r="K1874"/>
  <c r="K861"/>
  <c r="K838" s="1"/>
  <c r="K1104"/>
  <c r="J107"/>
  <c r="I1690"/>
  <c r="K2054"/>
  <c r="L273"/>
  <c r="N273" s="1"/>
  <c r="K166"/>
  <c r="I107"/>
  <c r="P107" s="1"/>
  <c r="N107"/>
  <c r="L52"/>
  <c r="L106"/>
  <c r="I159"/>
  <c r="K160"/>
  <c r="K159" s="1"/>
  <c r="Q208"/>
  <c r="K722"/>
  <c r="K687" s="1"/>
  <c r="K220"/>
  <c r="K219" s="1"/>
  <c r="N123"/>
  <c r="N122" s="1"/>
  <c r="P122" s="1"/>
  <c r="I123"/>
  <c r="L122"/>
  <c r="L30" s="1"/>
  <c r="J179"/>
  <c r="J108"/>
  <c r="K1291"/>
  <c r="M23"/>
  <c r="N108"/>
  <c r="O1874" s="1"/>
  <c r="P1874" s="1"/>
  <c r="I108"/>
  <c r="Q189"/>
  <c r="Q188" s="1"/>
  <c r="O188"/>
  <c r="J23"/>
  <c r="K103"/>
  <c r="AE35"/>
  <c r="J34"/>
  <c r="L98"/>
  <c r="L21" s="1"/>
  <c r="I99"/>
  <c r="Q180"/>
  <c r="O179"/>
  <c r="N120"/>
  <c r="L119"/>
  <c r="L29" s="1"/>
  <c r="I219"/>
  <c r="I120"/>
  <c r="Q1022"/>
  <c r="K1022"/>
  <c r="Q260"/>
  <c r="O259"/>
  <c r="Q154"/>
  <c r="Q150" s="1"/>
  <c r="P150"/>
  <c r="J36"/>
  <c r="AE37"/>
  <c r="J184"/>
  <c r="K185"/>
  <c r="K184" s="1"/>
  <c r="J206"/>
  <c r="K207"/>
  <c r="K206" s="1"/>
  <c r="Q1305"/>
  <c r="K1305"/>
  <c r="L96"/>
  <c r="I97"/>
  <c r="J1690"/>
  <c r="Q1690" s="1"/>
  <c r="Q935"/>
  <c r="K128"/>
  <c r="K37"/>
  <c r="K36" s="1"/>
  <c r="Q1588"/>
  <c r="K1588"/>
  <c r="J241"/>
  <c r="K242"/>
  <c r="K241" s="1"/>
  <c r="J150"/>
  <c r="K1121"/>
  <c r="K1252"/>
  <c r="K651"/>
  <c r="K610" s="1"/>
  <c r="K1327"/>
  <c r="Q1035"/>
  <c r="K1035"/>
  <c r="Q1677"/>
  <c r="K1677"/>
  <c r="N112"/>
  <c r="O2064" s="1"/>
  <c r="P2064" s="1"/>
  <c r="I112"/>
  <c r="K112" s="1"/>
  <c r="K267"/>
  <c r="J259"/>
  <c r="Q1341"/>
  <c r="K1341"/>
  <c r="K105"/>
  <c r="N103"/>
  <c r="Q1509"/>
  <c r="K1509"/>
  <c r="K486"/>
  <c r="K460" s="1"/>
  <c r="K175"/>
  <c r="K174" s="1"/>
  <c r="N114"/>
  <c r="S114"/>
  <c r="I114"/>
  <c r="K114" s="1"/>
  <c r="Q1150"/>
  <c r="K1150"/>
  <c r="K154"/>
  <c r="N150"/>
  <c r="Q1406"/>
  <c r="K1406"/>
  <c r="Q160"/>
  <c r="Q159" s="1"/>
  <c r="O159"/>
  <c r="I188"/>
  <c r="K189"/>
  <c r="N111"/>
  <c r="O2054" s="1"/>
  <c r="P2054" s="1"/>
  <c r="N206"/>
  <c r="Q1383"/>
  <c r="K1383"/>
  <c r="O2332"/>
  <c r="P2332" s="1"/>
  <c r="O2282"/>
  <c r="P2282" s="1"/>
  <c r="N219"/>
  <c r="K982"/>
  <c r="K949"/>
  <c r="J166"/>
  <c r="J120"/>
  <c r="J119" s="1"/>
  <c r="J29" s="1"/>
  <c r="AE29" s="1"/>
  <c r="K1495"/>
  <c r="K755"/>
  <c r="K733" s="1"/>
  <c r="K223"/>
  <c r="K222" s="1"/>
  <c r="K180"/>
  <c r="K179" s="1"/>
  <c r="I179"/>
  <c r="Q220"/>
  <c r="Q219" s="1"/>
  <c r="O219"/>
  <c r="O206" s="1"/>
  <c r="K260"/>
  <c r="I259"/>
  <c r="K830"/>
  <c r="K800" s="1"/>
  <c r="K230"/>
  <c r="K229" s="1"/>
  <c r="K191"/>
  <c r="J188"/>
  <c r="J213"/>
  <c r="K213" s="1"/>
  <c r="K214"/>
  <c r="K131"/>
  <c r="K130" s="1"/>
  <c r="J130"/>
  <c r="O2133"/>
  <c r="P2133" s="1"/>
  <c r="J123"/>
  <c r="J122" s="1"/>
  <c r="M122"/>
  <c r="M30" s="1"/>
  <c r="K1432"/>
  <c r="K150"/>
  <c r="K520"/>
  <c r="K492" s="1"/>
  <c r="N188"/>
  <c r="K305"/>
  <c r="K283" s="1"/>
  <c r="K1632"/>
  <c r="K1689" l="1"/>
  <c r="J106"/>
  <c r="J26" s="1"/>
  <c r="AE26" s="1"/>
  <c r="AD27"/>
  <c r="AF27" s="1"/>
  <c r="K27"/>
  <c r="O1689"/>
  <c r="R34"/>
  <c r="T35"/>
  <c r="T34" s="1"/>
  <c r="N34"/>
  <c r="W34" s="1"/>
  <c r="W35"/>
  <c r="I273"/>
  <c r="L274" s="1"/>
  <c r="M133"/>
  <c r="P134" s="1"/>
  <c r="S180"/>
  <c r="Q179"/>
  <c r="O2175"/>
  <c r="P2175" s="1"/>
  <c r="N119"/>
  <c r="R21"/>
  <c r="T21" s="1"/>
  <c r="I21"/>
  <c r="N21"/>
  <c r="W21" s="1"/>
  <c r="U21"/>
  <c r="I122"/>
  <c r="K123"/>
  <c r="K122" s="1"/>
  <c r="L26"/>
  <c r="O106"/>
  <c r="Q106" s="1"/>
  <c r="I106"/>
  <c r="K107"/>
  <c r="K259"/>
  <c r="K188"/>
  <c r="J273"/>
  <c r="K108"/>
  <c r="K1690"/>
  <c r="AE34"/>
  <c r="AF35"/>
  <c r="AF34" s="1"/>
  <c r="J30"/>
  <c r="AE30" s="1"/>
  <c r="V30"/>
  <c r="S30"/>
  <c r="I29"/>
  <c r="N29"/>
  <c r="W29" s="1"/>
  <c r="U29"/>
  <c r="R29"/>
  <c r="T29" s="1"/>
  <c r="K99"/>
  <c r="K98" s="1"/>
  <c r="I98"/>
  <c r="V23"/>
  <c r="S23"/>
  <c r="M19"/>
  <c r="N23"/>
  <c r="W23" s="1"/>
  <c r="N30"/>
  <c r="W30" s="1"/>
  <c r="U30"/>
  <c r="R30"/>
  <c r="I30"/>
  <c r="O1802"/>
  <c r="P1802" s="1"/>
  <c r="N106"/>
  <c r="N133" s="1"/>
  <c r="N52"/>
  <c r="K118"/>
  <c r="L20"/>
  <c r="L133"/>
  <c r="O134" s="1"/>
  <c r="K97"/>
  <c r="K96" s="1"/>
  <c r="I96"/>
  <c r="AE36"/>
  <c r="AF37"/>
  <c r="AF36" s="1"/>
  <c r="K120"/>
  <c r="K119" s="1"/>
  <c r="I119"/>
  <c r="AE23"/>
  <c r="K23"/>
  <c r="Q206"/>
  <c r="T30" l="1"/>
  <c r="J133"/>
  <c r="K273"/>
  <c r="K252" s="1"/>
  <c r="J19"/>
  <c r="J18" s="1"/>
  <c r="AF23"/>
  <c r="AE19"/>
  <c r="AE18" s="1"/>
  <c r="T23"/>
  <c r="S19"/>
  <c r="V19"/>
  <c r="M18"/>
  <c r="AD29"/>
  <c r="AF29" s="1"/>
  <c r="K29"/>
  <c r="K30"/>
  <c r="AD30"/>
  <c r="AF30" s="1"/>
  <c r="AD21"/>
  <c r="AF21" s="1"/>
  <c r="K21"/>
  <c r="Q134"/>
  <c r="P133"/>
  <c r="I133"/>
  <c r="K133" s="1"/>
  <c r="K89" s="1"/>
  <c r="K106"/>
  <c r="N20"/>
  <c r="U20"/>
  <c r="R20"/>
  <c r="L19"/>
  <c r="I20"/>
  <c r="O1690"/>
  <c r="K1653"/>
  <c r="K1565" s="1"/>
  <c r="K1535" s="1"/>
  <c r="K1488" s="1"/>
  <c r="K1057"/>
  <c r="K1015" s="1"/>
  <c r="K975" s="1"/>
  <c r="U26"/>
  <c r="I26"/>
  <c r="N26"/>
  <c r="W26" s="1"/>
  <c r="R26"/>
  <c r="T26" s="1"/>
  <c r="K199" l="1"/>
  <c r="K141" s="1"/>
  <c r="N274"/>
  <c r="K20"/>
  <c r="AD20"/>
  <c r="I19"/>
  <c r="I18" s="1"/>
  <c r="N19"/>
  <c r="W20"/>
  <c r="AD26"/>
  <c r="AF26" s="1"/>
  <c r="K26"/>
  <c r="M16"/>
  <c r="V18"/>
  <c r="S18"/>
  <c r="K1454"/>
  <c r="K1426"/>
  <c r="T20"/>
  <c r="T19" s="1"/>
  <c r="R19"/>
  <c r="K1607"/>
  <c r="K928"/>
  <c r="L18"/>
  <c r="U19"/>
  <c r="U18" l="1"/>
  <c r="L16"/>
  <c r="R18"/>
  <c r="K19"/>
  <c r="K18" s="1"/>
  <c r="K45" s="1"/>
  <c r="AF20"/>
  <c r="AF19" s="1"/>
  <c r="AF18" s="1"/>
  <c r="AJ18" s="1"/>
  <c r="AD19"/>
  <c r="AD18" s="1"/>
  <c r="K1400"/>
  <c r="K1321"/>
  <c r="W19"/>
  <c r="N18"/>
  <c r="O89" l="1"/>
  <c r="W18"/>
  <c r="N16"/>
  <c r="T18"/>
  <c r="K1365"/>
  <c r="K1245"/>
  <c r="K1212" s="1"/>
  <c r="K1284"/>
  <c r="K1171" l="1"/>
  <c r="K1144"/>
  <c r="K1098" s="1"/>
  <c r="I17" i="25" l="1"/>
  <c r="M17" s="1"/>
  <c r="I6" i="26"/>
  <c r="K6"/>
  <c r="H7"/>
  <c r="J7" s="1"/>
  <c r="J8"/>
  <c r="H9"/>
  <c r="J9" s="1"/>
  <c r="L9" s="1"/>
  <c r="H10"/>
  <c r="J10"/>
  <c r="K10"/>
  <c r="I11"/>
  <c r="I10" s="1"/>
  <c r="L11"/>
  <c r="L10" s="1"/>
  <c r="I16" i="25"/>
  <c r="F17"/>
  <c r="F18"/>
  <c r="L8" i="26"/>
  <c r="H6"/>
  <c r="H17" i="25"/>
  <c r="L17" s="1"/>
  <c r="N17" s="1"/>
  <c r="J17" l="1"/>
  <c r="H16"/>
  <c r="J16" s="1"/>
  <c r="L7" i="26"/>
  <c r="L6" s="1"/>
  <c r="J6"/>
  <c r="I18" i="25"/>
  <c r="H18" l="1"/>
  <c r="J18" s="1"/>
  <c r="J20" s="1"/>
  <c r="E16"/>
  <c r="M16" s="1"/>
  <c r="M18"/>
  <c r="I20"/>
  <c r="C7" i="29" l="1"/>
  <c r="E20" i="25"/>
  <c r="M20" s="1"/>
  <c r="L18"/>
  <c r="N18" s="1"/>
  <c r="H20"/>
  <c r="C15" i="29"/>
  <c r="C13" l="1"/>
  <c r="C10"/>
  <c r="C14"/>
  <c r="D16" i="25" l="1"/>
  <c r="L16" l="1"/>
  <c r="F16"/>
  <c r="D20"/>
  <c r="C11" i="29" l="1"/>
  <c r="F23" i="25"/>
  <c r="L23" s="1"/>
  <c r="F20"/>
  <c r="L20"/>
  <c r="N16"/>
  <c r="N20" s="1"/>
  <c r="C12" i="29" l="1"/>
  <c r="C16" s="1"/>
  <c r="G129" i="30"/>
  <c r="G128" s="1"/>
  <c r="G13" s="1"/>
  <c r="H128"/>
  <c r="H13" l="1"/>
  <c r="I128"/>
  <c r="I13" l="1"/>
  <c r="H137"/>
  <c r="H136" s="1"/>
  <c r="G137"/>
  <c r="J128" i="33" l="1"/>
  <c r="J127" s="1"/>
  <c r="H16" i="30"/>
  <c r="G136"/>
  <c r="G16" s="1"/>
  <c r="G12" s="1"/>
  <c r="I128" i="33"/>
  <c r="I127" s="1"/>
  <c r="J42" l="1"/>
  <c r="J12" s="1"/>
  <c r="I16" i="30"/>
  <c r="I136"/>
  <c r="I42" i="33"/>
  <c r="I12" s="1"/>
  <c r="K128"/>
  <c r="K127"/>
  <c r="H147" i="30"/>
  <c r="J40" i="33" l="1"/>
  <c r="K40" s="1"/>
  <c r="J143"/>
  <c r="J142" s="1"/>
  <c r="J49" s="1"/>
  <c r="J48" s="1"/>
  <c r="J11" s="1"/>
  <c r="I143"/>
  <c r="I40"/>
  <c r="K12"/>
  <c r="K11" s="1"/>
  <c r="H12" i="30"/>
  <c r="J39" i="33" l="1"/>
  <c r="K143"/>
  <c r="I142"/>
  <c r="I49" l="1"/>
  <c r="I48" s="1"/>
  <c r="K142"/>
  <c r="K49" s="1"/>
  <c r="K48" s="1"/>
  <c r="K39" s="1"/>
  <c r="J145"/>
  <c r="J144" s="1"/>
  <c r="I39" l="1"/>
  <c r="I11"/>
  <c r="J96"/>
  <c r="J151"/>
  <c r="K96" l="1"/>
  <c r="J90"/>
  <c r="J89" s="1"/>
  <c r="J104" s="1"/>
  <c r="K104" s="1"/>
  <c r="I167" i="30"/>
  <c r="H670" l="1"/>
  <c r="H113" l="1"/>
  <c r="I21"/>
  <c r="I169" l="1"/>
  <c r="I143" l="1"/>
  <c r="G147"/>
  <c r="I147" l="1"/>
  <c r="G670"/>
  <c r="I670" s="1"/>
  <c r="I142"/>
  <c r="I19" l="1"/>
  <c r="I12" l="1"/>
  <c r="G113"/>
  <c r="I113" s="1"/>
  <c r="I145" i="33"/>
  <c r="I144" l="1"/>
  <c r="K145"/>
  <c r="I96" l="1"/>
  <c r="I90" s="1"/>
  <c r="I89" s="1"/>
  <c r="I104" s="1"/>
  <c r="K144"/>
  <c r="I151"/>
  <c r="K151" s="1"/>
  <c r="J212" i="31"/>
  <c r="J211"/>
  <c r="J210" s="1"/>
  <c r="I212"/>
  <c r="I211" s="1"/>
  <c r="K211" l="1"/>
  <c r="I120"/>
  <c r="I210"/>
  <c r="K210" s="1"/>
  <c r="J120"/>
  <c r="J119" s="1"/>
  <c r="J196" s="1"/>
  <c r="I119" l="1"/>
  <c r="K120"/>
  <c r="K119" l="1"/>
  <c r="I196"/>
  <c r="K196" s="1"/>
</calcChain>
</file>

<file path=xl/sharedStrings.xml><?xml version="1.0" encoding="utf-8"?>
<sst xmlns="http://schemas.openxmlformats.org/spreadsheetml/2006/main" count="16378" uniqueCount="2538">
  <si>
    <t>PROGEP</t>
  </si>
  <si>
    <t>10</t>
  </si>
  <si>
    <t>15</t>
  </si>
  <si>
    <t>EDUCAÇÃO À DISTÂNCIA</t>
  </si>
  <si>
    <t>PREFEITURA ACADÊMICA</t>
  </si>
  <si>
    <t>PROPLAN</t>
  </si>
  <si>
    <t>APOIO À GRADUAÇÃO</t>
  </si>
  <si>
    <t>REITORIA - PROGRAMAS INSTITUCIONAIS</t>
  </si>
  <si>
    <t>GESTÃO INSTITUCIONAL</t>
  </si>
  <si>
    <t>23</t>
  </si>
  <si>
    <t>12</t>
  </si>
  <si>
    <t>UNIDADE ORÇAMENTÁRIA:</t>
  </si>
  <si>
    <t>Matriz Orçamentária para Funcionamento de Cursos de Graduação</t>
  </si>
  <si>
    <t>DEMONSTRATIVO DAS AÇÕES POR PROGRAMA UFPA</t>
  </si>
  <si>
    <t>PLANO INTERNO (PI/SIAFI)</t>
  </si>
  <si>
    <t>PROGRAMAS E AÇÕES SOF/MP e SIDOR/MEC</t>
  </si>
  <si>
    <t>PTRES</t>
  </si>
  <si>
    <t>1) OCC - OUTRAS DESPESAS CORRENTES E DE CAPITAL</t>
  </si>
  <si>
    <t>Servidor Capacitado</t>
  </si>
  <si>
    <t>Estudante Participante</t>
  </si>
  <si>
    <t>Material de Consumo</t>
  </si>
  <si>
    <t>UNIDADES ACADÊMICAS</t>
  </si>
  <si>
    <t>DOTAÇÃO ORÇAMENTÁRIA</t>
  </si>
  <si>
    <t>VICE-REITORIA</t>
  </si>
  <si>
    <t>BIBLIOTECA CENTRAL</t>
  </si>
  <si>
    <t>PROGRAMA INSTITUCIONAL DE BOLSAS DE EXTENSÃO</t>
  </si>
  <si>
    <t>Bibliot. Central</t>
  </si>
  <si>
    <t>ICA</t>
  </si>
  <si>
    <t>NAEA</t>
  </si>
  <si>
    <t>NMT</t>
  </si>
  <si>
    <t>NUMA</t>
  </si>
  <si>
    <t>NPI</t>
  </si>
  <si>
    <t>Instituto de Ciências da Arte - ICA</t>
  </si>
  <si>
    <t>TECNOLOGIA DA INFORMAÇÃO</t>
  </si>
  <si>
    <t>Núcleo de Altos Estudos Amazônicos - NAEA</t>
  </si>
  <si>
    <t>Núcleo de Medicina Tropical - NMT</t>
  </si>
  <si>
    <t>Núcleo de Meio Ambiente - NUMA</t>
  </si>
  <si>
    <t>AÇÕES (Projetos e Atividades)</t>
  </si>
  <si>
    <t>AÇÕES(Projetos e Atividades)</t>
  </si>
  <si>
    <t>AÇOES (Projetos e Atividades)</t>
  </si>
  <si>
    <t>MANUTENÇÃO E EXPANSÃO DA INFRA-ESTRUTURA DA REDE ÓTICA E LÓGICA</t>
  </si>
  <si>
    <t>SERVIÇO DE PUBLICIDADE LEGAL - RADIOBRÁS</t>
  </si>
  <si>
    <t>IMPRENSA NACIONAL</t>
  </si>
  <si>
    <t>Servidor Atendido</t>
  </si>
  <si>
    <t>Relatório</t>
  </si>
  <si>
    <t>INFRA-ESTRUTURA PARA AUTO-AVALIAÇÃO DA UFPA</t>
  </si>
  <si>
    <t>AQUISIÇÃO DE MATERIAL PERMANENTE</t>
  </si>
  <si>
    <t>CAPITAL - RESERVA</t>
  </si>
  <si>
    <t>PROGRAMA INTERINSTITUCIONAL DE APOIO A PRODUÇÃO ACADÊMICA - PIAPA</t>
  </si>
  <si>
    <t>Campus de Castanhal</t>
  </si>
  <si>
    <t>PRÓ-REITORIA DE PLANEJAMENTO E DESENVOLVIMENTO INSTITUCIONAL</t>
  </si>
  <si>
    <t>26000 - MISTÉRIO DA EDUCAÇÃO - MEC</t>
  </si>
  <si>
    <t>26239 - UNIVERSIDADE FEDERAL DO PARÁ - UFPA</t>
  </si>
  <si>
    <t xml:space="preserve">DOTAÇÃO ORÇAMENTÁRIA: </t>
  </si>
  <si>
    <t xml:space="preserve">REITORIA </t>
  </si>
  <si>
    <t>DEMONSTRATIVO POR FONTES, PROGRAMAS E AÇÕES SIMEC</t>
  </si>
  <si>
    <t>Docente Atendido</t>
  </si>
  <si>
    <t>APOIO AO ESTUDANTE UNIVERSITÁRIO</t>
  </si>
  <si>
    <t>PRÁTICAS ESPORTIVAS UNIVERSITÁRIAS</t>
  </si>
  <si>
    <t>Pessoa Atendida</t>
  </si>
  <si>
    <t>ATENDIMENTO AS ATIVIDADES ADMINISTRATIVAS</t>
  </si>
  <si>
    <t>APOIO AOS DISCENTES PARA VIAGENS ACADÊMICAS</t>
  </si>
  <si>
    <t>APOIO AS ATIVIDADES DA SECRETARIA MULTICAMPI</t>
  </si>
  <si>
    <r>
      <t>GESTÃO INSTITUCIONAL</t>
    </r>
    <r>
      <rPr>
        <b/>
        <sz val="18"/>
        <rFont val="Arial"/>
        <family val="2"/>
      </rPr>
      <t xml:space="preserve"> </t>
    </r>
  </si>
  <si>
    <t xml:space="preserve">PREFEITURA </t>
  </si>
  <si>
    <t>CONTROLE E AUDITORIA ACADÊMICA NOS CAMPI</t>
  </si>
  <si>
    <t>PRODUÇÃO DE MATERIAL ACADÊMICO</t>
  </si>
  <si>
    <t>ICB</t>
  </si>
  <si>
    <t>Instituto de Ciências Biológicas - ICB</t>
  </si>
  <si>
    <t>Instituto de Ciências Exatas e Naturais - ICEN</t>
  </si>
  <si>
    <t>ICEN</t>
  </si>
  <si>
    <t>Instituto de Ciências Jurídicas - ICJ</t>
  </si>
  <si>
    <t>ICJ</t>
  </si>
  <si>
    <t>Instituto de Filosofia e Ciências Humanas - IFCH</t>
  </si>
  <si>
    <t>IFCH</t>
  </si>
  <si>
    <t xml:space="preserve">RESUMO POR PROGRAMA UFPA / PGO </t>
  </si>
  <si>
    <t>OCC - OUTRAS DESPESAS CORRENTES E DE CAPITAL</t>
  </si>
  <si>
    <t>Volume Bibliográfico Adquirido</t>
  </si>
  <si>
    <t>IG</t>
  </si>
  <si>
    <t>Funcionamento da Unidade</t>
  </si>
  <si>
    <t>CTIC</t>
  </si>
  <si>
    <t>4) OCC - RECURSOS PRÓPRIOS</t>
  </si>
  <si>
    <t>DIPLOMAS DE GRADUAÇÃO E PÓS-GRADUAÇÃO</t>
  </si>
  <si>
    <t>ATUALIZAÇÃO EM GESTÃO ACADÊMICA</t>
  </si>
  <si>
    <t>ARQUIVAMENTO DIGITAL</t>
  </si>
  <si>
    <t>Instituto de Tecnologia - ITEC</t>
  </si>
  <si>
    <t>ITEC</t>
  </si>
  <si>
    <t>Instituto Ciências da Saúde - ICS</t>
  </si>
  <si>
    <t>Instituto de Letras e Comunicação - ILC</t>
  </si>
  <si>
    <t>Instituto de Ciências Sociais Aplicadas - ICSA</t>
  </si>
  <si>
    <t>ICED</t>
  </si>
  <si>
    <t>ILC</t>
  </si>
  <si>
    <t>ICSA</t>
  </si>
  <si>
    <t>ICS</t>
  </si>
  <si>
    <t>NCADR</t>
  </si>
  <si>
    <t>Instituto de Ciências da Educação - ICED</t>
  </si>
  <si>
    <t>VICE-REITORIA - UGR: 150187</t>
  </si>
  <si>
    <t>PROAD - PRÓREITORIA DE ADMINISTRAÇÃO - UGR: 156001</t>
  </si>
  <si>
    <t xml:space="preserve">PREFEITURA - UGR: 153543 </t>
  </si>
  <si>
    <t>MUSEU DA UFPA - UGR: 150153</t>
  </si>
  <si>
    <t>AUDIN - UGR: 150035</t>
  </si>
  <si>
    <t>PROPLAN - PRÓ-REITORIA DE PLANEJAMENTO E DESENVOLVIMENTO INSTITUCIONAL - UGR: 150155</t>
  </si>
  <si>
    <t>PROEG - PRÓ-REITORIA DE ENSINO E GRADUAÇÃO - UGR: 156006</t>
  </si>
  <si>
    <t>PROEX - PRÓ-REITORIA DE EXTENSÃO - UGR: 156007</t>
  </si>
  <si>
    <t>BIBLIOTECA CENTRAL - UGR: 150031</t>
  </si>
  <si>
    <t>CTIC - CENTRO DE TECNOLOGIA DA INFORMAÇÃO E COMUNICAÇÃO - UGR: 156002</t>
  </si>
  <si>
    <t xml:space="preserve">Escola de Aplicação - NPI </t>
  </si>
  <si>
    <t>UGR: 153544</t>
  </si>
  <si>
    <t>UGR: 153184</t>
  </si>
  <si>
    <t>UGR: 153187</t>
  </si>
  <si>
    <t>UGR: 153181</t>
  </si>
  <si>
    <t>UGR: 153183</t>
  </si>
  <si>
    <t>UGR: 153190</t>
  </si>
  <si>
    <t>UGR: 153188</t>
  </si>
  <si>
    <t>UGR: 153180</t>
  </si>
  <si>
    <t>UGR: 153186</t>
  </si>
  <si>
    <t>UGR: 153182</t>
  </si>
  <si>
    <t>UGR: 153185</t>
  </si>
  <si>
    <t>UGR: 153541</t>
  </si>
  <si>
    <t>UGR: 153542</t>
  </si>
  <si>
    <t>UGR: 156009</t>
  </si>
  <si>
    <t>UGR: 153539</t>
  </si>
  <si>
    <t>UGR: 153540</t>
  </si>
  <si>
    <t>UGR: 153550</t>
  </si>
  <si>
    <t>UGR: 153557</t>
  </si>
  <si>
    <t>UGR: 153553</t>
  </si>
  <si>
    <t>UGR: 153554</t>
  </si>
  <si>
    <t>UGR: 158140</t>
  </si>
  <si>
    <t>UGR: 153558</t>
  </si>
  <si>
    <t>UGR: 153555</t>
  </si>
  <si>
    <t>UGR: 153556</t>
  </si>
  <si>
    <t>Extensão Universitária</t>
  </si>
  <si>
    <t>EXTENSÃO UNIVERSITÁRIA</t>
  </si>
  <si>
    <t>2) PESSOAL E ENCARGOS SOCIAIS</t>
  </si>
  <si>
    <t xml:space="preserve">ESPECIFICAÇÃO DOS PROGRAMAS COMPONENTES DA ESTRUTURA PROGRAMÁTICA DA UFPA </t>
  </si>
  <si>
    <t>DEMONSTRATIVO SINTÉTICO DOS PROGRAMAS E AÇÕES SOF/MP E SIMEC/MEC</t>
  </si>
  <si>
    <t>PROGEP - PRÓ-REITORIA DE DESENVOLVIMENTO E GESTÃO DE PESSOAL - UGR: 150032</t>
  </si>
  <si>
    <t>Estudante Beneficiado</t>
  </si>
  <si>
    <t>Manutenção Realizada</t>
  </si>
  <si>
    <t>CAPACITAÇÃO DE SERVIDORES DA PROAD</t>
  </si>
  <si>
    <t>FUNCIONAMENTO PLANO DE COMUNICAÇÃO INSTITUCIONAL INTEGRADA</t>
  </si>
  <si>
    <t>Programa UFPA: 03 - Matriz Orçamentária</t>
  </si>
  <si>
    <t>Aquisição de Equipamentos</t>
  </si>
  <si>
    <t>Alunos Matriculados</t>
  </si>
  <si>
    <t>Aquisição de Material de Consumo</t>
  </si>
  <si>
    <t>Unidades Atendidas</t>
  </si>
  <si>
    <t>CIAC</t>
  </si>
  <si>
    <t>Alunos Atendidos</t>
  </si>
  <si>
    <t>Atividades Realizadas</t>
  </si>
  <si>
    <t>Editora</t>
  </si>
  <si>
    <t>EDITORA</t>
  </si>
  <si>
    <t>Área Construída</t>
  </si>
  <si>
    <t>PRECAMPUS</t>
  </si>
  <si>
    <t>SERVIÇO DE MONITORAMENTO E SEGURANÇA</t>
  </si>
  <si>
    <t>MODERNIZAÇÃO DOS EQUIPAMENTOS DO CIAC</t>
  </si>
  <si>
    <t>Material Permanente Adquirido</t>
  </si>
  <si>
    <t>Assistência Estudantil</t>
  </si>
  <si>
    <t>ASSISTÊNCIA ESTUDANTIL</t>
  </si>
  <si>
    <t>KIT PEDAGÓGICO ACADÊMICO</t>
  </si>
  <si>
    <t>Acervo Bibliográfico</t>
  </si>
  <si>
    <t>Alunos Participantes</t>
  </si>
  <si>
    <t>CIAC - CENTRO DE REGISTRO E INDICADORES ACADÊMICOS - UGR: 150219</t>
  </si>
  <si>
    <t>Campus de Abaetetuba</t>
  </si>
  <si>
    <t>Campus de Altamira</t>
  </si>
  <si>
    <t>Campus de Bragança</t>
  </si>
  <si>
    <t>Campus de Breves</t>
  </si>
  <si>
    <t>Campus de Cametá</t>
  </si>
  <si>
    <t>Campus de Soure</t>
  </si>
  <si>
    <t>RESUMO DAS UNIDADES ADMINISTRATIVAS E ACADÊMICAS POR PROGRAMA UFPA</t>
  </si>
  <si>
    <t>C. BRAGANÇA</t>
  </si>
  <si>
    <t>C. CASTANHAL</t>
  </si>
  <si>
    <t>C. SOURE</t>
  </si>
  <si>
    <t>C. ABAETETUBA</t>
  </si>
  <si>
    <t>C. ALTAMIRA</t>
  </si>
  <si>
    <t>C. BREVES</t>
  </si>
  <si>
    <t>C. CAMETÁ</t>
  </si>
  <si>
    <t>FUNCIONAMENTO DO CIAC</t>
  </si>
  <si>
    <t>Bolsa Ofertada</t>
  </si>
  <si>
    <t>INDICADOR</t>
  </si>
  <si>
    <t>META</t>
  </si>
  <si>
    <t>CUSTEIO</t>
  </si>
  <si>
    <t>CAPITAL</t>
  </si>
  <si>
    <t>Exemplar</t>
  </si>
  <si>
    <t>Nº</t>
  </si>
  <si>
    <t>PROEX</t>
  </si>
  <si>
    <t>UNIDADE RESPONSÁVEL</t>
  </si>
  <si>
    <t>BOLSA ESTÁGIO</t>
  </si>
  <si>
    <t>LOCAÇÃO DE MÁQUINAS COPIADORAS</t>
  </si>
  <si>
    <t>01</t>
  </si>
  <si>
    <t>Apoio à Graduação</t>
  </si>
  <si>
    <t>PROEG</t>
  </si>
  <si>
    <t>PROAD</t>
  </si>
  <si>
    <t>Gestão Institucional</t>
  </si>
  <si>
    <t>13</t>
  </si>
  <si>
    <t>14</t>
  </si>
  <si>
    <t>PROPESP</t>
  </si>
  <si>
    <t>17</t>
  </si>
  <si>
    <t>CAPACITAÇÃO DE SERVIDORES</t>
  </si>
  <si>
    <t>Capacitação de Servidores</t>
  </si>
  <si>
    <t>Educação à Distância</t>
  </si>
  <si>
    <t>TOTAL</t>
  </si>
  <si>
    <t>Aluno Matriculado</t>
  </si>
  <si>
    <t>02</t>
  </si>
  <si>
    <t>Serviços Realizados</t>
  </si>
  <si>
    <t>Eficácia</t>
  </si>
  <si>
    <t>03</t>
  </si>
  <si>
    <t>04</t>
  </si>
  <si>
    <t>05</t>
  </si>
  <si>
    <t>08</t>
  </si>
  <si>
    <t>PROGRAMA UFPA</t>
  </si>
  <si>
    <t>PROPESP - PRÓ-REITORIA DE PESQUISA E PÓS-GRADUAÇÃO - UGR: 156003</t>
  </si>
  <si>
    <t>PROINTER</t>
  </si>
  <si>
    <t>COORDENAÇÃO DO REUNI</t>
  </si>
  <si>
    <t>AUDITORIA NOS CAMPI</t>
  </si>
  <si>
    <t>Unidade Auditada</t>
  </si>
  <si>
    <t>Atendimento Realizado</t>
  </si>
  <si>
    <t>Equipamentos Recuperados</t>
  </si>
  <si>
    <t>Publicidade Institucional</t>
  </si>
  <si>
    <t>LOCAÇÃO DE IMÓVEL - FORUM LANDI</t>
  </si>
  <si>
    <t xml:space="preserve">Redução de Reclamações </t>
  </si>
  <si>
    <t xml:space="preserve">Redução de Ocorrências </t>
  </si>
  <si>
    <t xml:space="preserve">Projetos Elaborados </t>
  </si>
  <si>
    <t xml:space="preserve">Motorista Contratado </t>
  </si>
  <si>
    <t>Material e Equipamento Adquirido</t>
  </si>
  <si>
    <t>Projetos Elaborados</t>
  </si>
  <si>
    <t>Eventos Promovidos/Realizados</t>
  </si>
  <si>
    <t>COORDENAÇÃO DE EDUCAÇÃO BASICA E PROFISSIONAL</t>
  </si>
  <si>
    <t>COORDENADORIA DE APOIO AOS DISCENTES</t>
  </si>
  <si>
    <t>FÓRUM DE GRADUAÇÃO</t>
  </si>
  <si>
    <t>PRODISCENTE</t>
  </si>
  <si>
    <t>RESERVA PROPESP</t>
  </si>
  <si>
    <t>SEMINIC</t>
  </si>
  <si>
    <t>Móveis e Equipamentos Adquiridos</t>
  </si>
  <si>
    <t>ATIVIDADES PRÓPRIAS DA PROINTER</t>
  </si>
  <si>
    <t>Eventos Promovidos / Realizados</t>
  </si>
  <si>
    <t>COORDENAÇÃO DO REUNI - UGR: 151107</t>
  </si>
  <si>
    <t>MANUTENÇÃO DAS UNIDADES</t>
  </si>
  <si>
    <t>Coord. REUNI</t>
  </si>
  <si>
    <t>DIPLAN</t>
  </si>
  <si>
    <t>COORDENAÇÃO DE AVALIAÇÃO E CURRÍCULO</t>
  </si>
  <si>
    <t>3) BENEFÍCIOS AOS SERVIDORES</t>
  </si>
  <si>
    <t xml:space="preserve">Programa UFPA: 03 - Matriz Orçamentária </t>
  </si>
  <si>
    <t xml:space="preserve">Instituto de Geociências - IG </t>
  </si>
  <si>
    <t>Aquisição de TI</t>
  </si>
  <si>
    <t>20</t>
  </si>
  <si>
    <t>Ambiente Físico Modernizado/Recuperado</t>
  </si>
  <si>
    <t>VISITAS TÉCNICAS DO ITEC</t>
  </si>
  <si>
    <t>F0401G0100N</t>
  </si>
  <si>
    <t>F0301G0100N</t>
  </si>
  <si>
    <t>F0706G0100N</t>
  </si>
  <si>
    <t>MANUTENÇÃO DA ESCOLA DE MÚSICA - EMUFPA/ICA</t>
  </si>
  <si>
    <t>MANUTENÇÃO DA ESCOLA DE TEATRO E DANÇA - ETDUFPA/ICA</t>
  </si>
  <si>
    <t>Instituto de Estudos Costeiros - IECOS</t>
  </si>
  <si>
    <t>UGR: 151079</t>
  </si>
  <si>
    <t>IECOS</t>
  </si>
  <si>
    <t>Bolsas Ofertadas</t>
  </si>
  <si>
    <t>Núcleo de Teoria e Pesquisa do Compurtamento - NTPC</t>
  </si>
  <si>
    <t>UGR: 151081</t>
  </si>
  <si>
    <t>NTPC</t>
  </si>
  <si>
    <t>Campus de Capanema</t>
  </si>
  <si>
    <t>UGR: 150051</t>
  </si>
  <si>
    <t>C. CAPANEMA</t>
  </si>
  <si>
    <t>VIAGENS DE CAMPO DO CAMPUS DE CASTANHAL</t>
  </si>
  <si>
    <t>Campus de Tucuruí</t>
  </si>
  <si>
    <t>UGR: 150104</t>
  </si>
  <si>
    <t>C. TUCURUÍ</t>
  </si>
  <si>
    <t>Tecnologia da Informação</t>
  </si>
  <si>
    <t xml:space="preserve">VIAGEM DE CAMPO DA FACULDADE DE ENGENHARIA FLORESTAL </t>
  </si>
  <si>
    <t xml:space="preserve">OBS: </t>
  </si>
  <si>
    <t>PESQUISA UNIVERSITÁRIA</t>
  </si>
  <si>
    <t>Pesquisa Universitária</t>
  </si>
  <si>
    <t>0901 - OPERAÇÕES ESPECIAIS: CUMPRIMENTO DE SENTENÇAS JUDÍCIAIS</t>
  </si>
  <si>
    <t>0089 - PREVIDÊNCIA DE INATIVOS E PENSIONISTAS DA UNIÃO</t>
  </si>
  <si>
    <t>Programa UFPA: 01 - Gestão Institucional</t>
  </si>
  <si>
    <t>Programa UFPA: 18 - REUNI</t>
  </si>
  <si>
    <t xml:space="preserve">MANUTENÇÃO DOS ELEVADORES </t>
  </si>
  <si>
    <t>CONTRATO DE PRESTAÇÃO DE SERVIÇOS COM A EMPRESA BRASILEIRA DE CORREIOS E TELÉGRAFOS - EBCT</t>
  </si>
  <si>
    <t>MANUTENÇÃO DE EQUIPAMENTOS DE COZINHA DO RU</t>
  </si>
  <si>
    <t>Programa UFPA: 13 - Capacitação de Servidores Públicos</t>
  </si>
  <si>
    <t>Programa UFPA: 19 - ASSISTÊNCIA ESTUDANTIL</t>
  </si>
  <si>
    <t>Programa UFPA: 20 - TECNOLOGIA DA INFORMAÇÃO</t>
  </si>
  <si>
    <t>CONTRATO DE EMPRESA ESPECIALIZADA EM COLETA DE RESÍDUOS DE SERVIÇOS DE SAÚDE</t>
  </si>
  <si>
    <t>CONTRATO DE SERVIÇOS DE MANUTENÇÃO DO SISTEMA DE TELEFONIA</t>
  </si>
  <si>
    <t>CONTRATO DE SERVIÇOS DE MANUTENÇÃO HIDRÁULICA</t>
  </si>
  <si>
    <t>CONTRATO DE SERVIÇOS DE MANUTENÇÃO ELÉTRICA</t>
  </si>
  <si>
    <t>CONTRATO DE MANUTENÇÃO DE EQUIPAMENTOS DE REFRIGERAÇÃO</t>
  </si>
  <si>
    <t>CONTRATO DE SERVIÇOS ESPECIALIZADOS EM PROJETOS EXECUTIVOS/COMPLEMENTARES</t>
  </si>
  <si>
    <t>CONTRATO DE SERVIÇOS DE MANUTENÇÃO PREDIAL</t>
  </si>
  <si>
    <t>CONTRATO DE SERVIÇOS TERCEIRIZADOS DE PORTARIA</t>
  </si>
  <si>
    <t xml:space="preserve">CAPACITAÇÃO CURSOS ESPECÍFICOS </t>
  </si>
  <si>
    <t>A0503G3800N</t>
  </si>
  <si>
    <t>AQUISIÇÃO DE MOBILIÁRIO</t>
  </si>
  <si>
    <t>Programa UFPA: 02 - Apoio à Graduação</t>
  </si>
  <si>
    <t xml:space="preserve">PRÁTICAS PEDAGÓGICAS E POLÍTICAS DE INCLUSÃO </t>
  </si>
  <si>
    <t>PROGRAMA DE EDUCAÇÃO TUTORIAL - PET</t>
  </si>
  <si>
    <t>DIAVI</t>
  </si>
  <si>
    <t>Programa UFPA: 23 - Pesquisa Universitária</t>
  </si>
  <si>
    <t>Programa UFPA: 10 - Funcionamento de Cursos de Pós-Graduação</t>
  </si>
  <si>
    <t>Programa UFPA: 08 - Extensão Universitária</t>
  </si>
  <si>
    <t>AQUISIÇÃO DE EQUIPAMENTOS E MATERIAL PERMANANTE</t>
  </si>
  <si>
    <t>PROJETO MULTICAMPI ARTES</t>
  </si>
  <si>
    <t>AVALIAÇÃO DE EXTENSÃO UNIVERSITÁRIA</t>
  </si>
  <si>
    <t>BOLSA PERMANÊNCIA AUXÍLIO DIDATICO PEDAGÓGICO</t>
  </si>
  <si>
    <t>BOLSA AÇÃO AFIRMATIVAS NAVEGA SABERES</t>
  </si>
  <si>
    <t>Aquisição de Mobiliário</t>
  </si>
  <si>
    <t xml:space="preserve">CÁTEDRAS  </t>
  </si>
  <si>
    <t>AQUISIÇÃO DE MATERIAL BIBLIOGRáFICO, PERIÓDICOS E OUTROS</t>
  </si>
  <si>
    <t>Programa UFPA: 14 - Educação à Distância</t>
  </si>
  <si>
    <t>MANUTENÇÃO E CONSERVAÇÃO DE EQUIPAMENTOS ELETRO-ELETRÔNICOS</t>
  </si>
  <si>
    <t>FUNCIONAMENTO DA EDITORA UNIVERSITÁRIA</t>
  </si>
  <si>
    <t>Programa UFPA: 04 - PROINFRA</t>
  </si>
  <si>
    <t>Programa UFPA: 17 - Escola de Aplicação</t>
  </si>
  <si>
    <t>Programa UFPA: 20 - Tecnologia da Informação</t>
  </si>
  <si>
    <t>FUNCIONAMENTO DA ESCOLA DE APLICAÇÃO</t>
  </si>
  <si>
    <t>TECNOLOGIA DA INFORMAÇÃO CONDICAP</t>
  </si>
  <si>
    <t>Aquisição e Manutenção de TI</t>
  </si>
  <si>
    <t>TECNOLOGIA DA INFORMAÇÃO DAS UNIDADES ACADÊMICAS</t>
  </si>
  <si>
    <t>FUNCIONAMENTO DAS UNIDADES ACADÊMICAS</t>
  </si>
  <si>
    <t xml:space="preserve">VIAGEM DE CAMPO DO ICB </t>
  </si>
  <si>
    <t>CAPACITAÇÃO DE SERVIDORES DAS UNIDADES ACADÊMICAS</t>
  </si>
  <si>
    <t>AUXÍLIO A PROGRAMAS E PROJETOS DE EXTENSÃO</t>
  </si>
  <si>
    <t>BOLSA PERMANÊNCIA AUXÍLIO MORADIA</t>
  </si>
  <si>
    <t>MANUTENÇÃO MORADIA ESTUDANTIL</t>
  </si>
  <si>
    <t>VIAGEM DE CAMPO DO IG</t>
  </si>
  <si>
    <t>Vice-Reitoria</t>
  </si>
  <si>
    <t>Livro</t>
  </si>
  <si>
    <t>PRODUÇÃO EDITORIAL DE LIVROS DE SÉRIES DA EDUFPA</t>
  </si>
  <si>
    <t>PARTICIPAÇÃO EM FEIRAS E EVENTOS PARA EXPOSIÇÃO DE LIVROS</t>
  </si>
  <si>
    <t>Evento</t>
  </si>
  <si>
    <t xml:space="preserve">Alunos Atendidos </t>
  </si>
  <si>
    <t>AQUISIÇÃO DE ACERVO BIBLIOGRÁFICO PARA O ILC</t>
  </si>
  <si>
    <t>Projeto Implantado</t>
  </si>
  <si>
    <t>Programa UFPA: 15 - Educação Profissional</t>
  </si>
  <si>
    <t>VALORIZAÇÃO DO DISCENTE DO ICA</t>
  </si>
  <si>
    <t>Instituto de Educação Matemática e Científica - IEMCI</t>
  </si>
  <si>
    <t>IEMCI</t>
  </si>
  <si>
    <t>I1318G0100N</t>
  </si>
  <si>
    <t>F0707G0100N</t>
  </si>
  <si>
    <t>AGÊNCIA DE INOVAÇÃO TECNOLÓGICA</t>
  </si>
  <si>
    <t>18</t>
  </si>
  <si>
    <t>19</t>
  </si>
  <si>
    <t>CAPACITAÇÃO DE SERVIDORES PÚBLICOS</t>
  </si>
  <si>
    <t>FUNCIONAMENTO DE CURSOS DE PÓS-GRADUAÇÃO</t>
  </si>
  <si>
    <t>ESCOLA DE APLICAÇÃO</t>
  </si>
  <si>
    <t>EDUCAÇÃO PROFISSIONAL</t>
  </si>
  <si>
    <t>PROINFRA (Custeio + Capital)</t>
  </si>
  <si>
    <t>Funcionamento de Cursos de Pós-Graduação</t>
  </si>
  <si>
    <t>Educação Profissional</t>
  </si>
  <si>
    <t>Escola de Aplicação</t>
  </si>
  <si>
    <t>OBRAS - CONSTRUÇÕES DA ESCOLA DE APLICAÇÃO</t>
  </si>
  <si>
    <t>PROGRAMA UFPA: 01 - GESTÃO INSTITUCIONAL</t>
  </si>
  <si>
    <t>PROGRAMA UFPA: 02 - APOIO À GRADUAÇÃO</t>
  </si>
  <si>
    <t>PROGRAMA UFPA: 03 - MATRIZ ORÇAMENTÁRIA PARA FUNCIONAMENTO DE CURSOS DE GRADUAÇÃO</t>
  </si>
  <si>
    <t>PROGRAMA UFPA: 08 - EXTENSÃO UNIVERSITÁRIA</t>
  </si>
  <si>
    <t>PROGRAMA UFPA: 10 - FUNCIONAMENTO DE CURSOS DE PÓS-GRADUAÇÃO</t>
  </si>
  <si>
    <t>I1004O5100N</t>
  </si>
  <si>
    <t>PROGRAMA UFPA: 13 - CAPACITAÇÃO DE SERVIDORES</t>
  </si>
  <si>
    <t>PROGRAMA UFPA: 14 - EDUCAÇÃO À DISTÂNCIA</t>
  </si>
  <si>
    <t>PROGRAMA UFPA: 15 - EDUCAÇÃO PROFISSIONAL</t>
  </si>
  <si>
    <t xml:space="preserve">PROGRAMA UFPA: 17 - ESCOLA DE APLICAÇÃO </t>
  </si>
  <si>
    <t>PROGRAMA UFPA: 18 - REUNI</t>
  </si>
  <si>
    <t xml:space="preserve">PROGRAMA UFPA: 19 - ASSISTÊNCIA ESTUDANTIL </t>
  </si>
  <si>
    <t>PROGRAMA UFPA: 20 - TECNOLOGIA DA INFORMAÇÃO</t>
  </si>
  <si>
    <t>PROGRAMA UFPA: 23 - PESQUISA UNIVERSITÁRIA</t>
  </si>
  <si>
    <t>CONTRATAÇÃO DE SERVIÇOS TERCEIRIZADOS DE VIGILÂNCIA</t>
  </si>
  <si>
    <t>Exposição</t>
  </si>
  <si>
    <t>ATIVIDADES EXPOSITIVAS</t>
  </si>
  <si>
    <t>VIAGEM DE CAMPO DA FACULDADE DE GEOGRAFIA E CARTOGRAFIA</t>
  </si>
  <si>
    <t>AGÊNCIA DE INOVAÇÃO TECNOLÓGICA - UGR 151908</t>
  </si>
  <si>
    <t>ETDUFPA/ICA</t>
  </si>
  <si>
    <t>TECNOLOGIA DA INFORMAÇÃO DA ESCOLA DE MÚSICA - EMUFPA/ICA</t>
  </si>
  <si>
    <t>BOLSAS PIBIC</t>
  </si>
  <si>
    <t>COMPLEMENTAÇÃO PASEP</t>
  </si>
  <si>
    <t>VIAGEM DE CAMPO DO IECOS</t>
  </si>
  <si>
    <t>VIAGEM DE CAMPO PARA COLETA DE MATERIAL BIOLÓGICO E PALEONTOLÓGICO</t>
  </si>
  <si>
    <t>VIAGEM DE CAMPO DA FACULDADE DE AGRONOMIA</t>
  </si>
  <si>
    <t>VIAGEM DE CAMPO DA FACULDADE DE GEOGRAFIA</t>
  </si>
  <si>
    <t>VIAGEM DE CAMPO DA FACULDADE DE ETNODESENVOLVIMENTO</t>
  </si>
  <si>
    <t>Vagas Disponibilizadas</t>
  </si>
  <si>
    <t>CONTRATO DE LOCAÇÃO DA CASA DA ESTUDANTE UNIVERSITÁRIA - CAESUN</t>
  </si>
  <si>
    <t>CONTRATO DE FORNECIMENTO DE ÁGUA CANALIZADA - COSANPA</t>
  </si>
  <si>
    <t>PRESTAÇÃO DE SERVIÇOS DE TELEFONIA FIXA - OI</t>
  </si>
  <si>
    <t>CONTRATO DE PRESTAÇÃO DE SERVIÇO COM A SOCIEDADE PARANAENSE DE CULTURA - SISTEMA PERGAMUM</t>
  </si>
  <si>
    <t>LOCAÇÃO DE IMÓVEL EM CASTANHAL - SRª DANIELLE LIMA DO ROSÁRIO</t>
  </si>
  <si>
    <t>AQUISIÇÃO DE EQUIPAMENTOS DE TECNOLOGIA DA INFORMAÇÃO</t>
  </si>
  <si>
    <t>CONTRATO DE GERENCIAMENTO DE FROTA</t>
  </si>
  <si>
    <t>CONTRATO DE EMPRESA ESPECIALIZADA EM CONSULTORIA DE ENGENHARIA E  DE APOIO TÉCNICO A FISCALIZAÇÃO DE OBRAS</t>
  </si>
  <si>
    <t>PROGRAMA INTEGRADO DE APOIO AO ENSINO, PESQUISA E EXTENSÃO - PROINT</t>
  </si>
  <si>
    <t>PROGRAMA DE APOIO A PROJETOS DE INTEGRAÇÃO METODOLOGICA - PAPIM</t>
  </si>
  <si>
    <t>SEMINÁRIO DE AVALIAÇÃO DE RESULTADO DE PROJETO PAPIM</t>
  </si>
  <si>
    <t>RECURSO PARA GABINETE - PROEG</t>
  </si>
  <si>
    <t>AQUISIÇÃO DE MATERIAL PERMANENTE PARA A PROPLAN</t>
  </si>
  <si>
    <t xml:space="preserve">TROTE/PREPARAÇÃO DE CALOUROS </t>
  </si>
  <si>
    <t>REVISTA TUCUNDUBA</t>
  </si>
  <si>
    <t>BOLSA PERMANÊNCIA AÇÃO AFIRMATIVA DE EXTENSÃO</t>
  </si>
  <si>
    <t>BOLSA PERMANÊNCIA AUXÍLIO EMERGENCIAL DIDÁTICO PEDAGÓGICO</t>
  </si>
  <si>
    <t>BOLSA PERMANÊNCIA AUXÍLIO EMERGENCIAL MORADIA</t>
  </si>
  <si>
    <t>Programa UFPA: 13 - Capacitação de Servidores</t>
  </si>
  <si>
    <t>PROMOÇÃO DA CULTURA DE INOVAÇÃO TECNOLÓGICA</t>
  </si>
  <si>
    <t>IMPLEMENTAÇÃO DE S.G.Q. PARA OS LABORATÓRIOS DA UFPA</t>
  </si>
  <si>
    <t>EXECUÇÃO DE ATIVIDADES DA POLÍTICA DE INOVAÇÃO TECNOLÓGICA</t>
  </si>
  <si>
    <t>CRIAÇÃO DE METODOLOGIA PARA VALORIZAÇÃO DE TECNOLÓGIA NA UFPA</t>
  </si>
  <si>
    <t>CAPACITAÇÃO DE SERVIDORES DA UNIVERSITEC - AGÊNCIA DE INOVAÇÃO TECNOLÓGICA</t>
  </si>
  <si>
    <t>AQUISIÇÃO DE LICENÇA DE SOFTWARE, CERTIFICADOS DIGITAIS E AFINS</t>
  </si>
  <si>
    <t xml:space="preserve">EQUIPAMENTOS PARA INFRA-ESTRUTURA DE TIC  </t>
  </si>
  <si>
    <t>AQUISIÇÃO DE MATERIAL DE CONSUMO DE USO RESTRITO DE TIC</t>
  </si>
  <si>
    <t>OBRAS, REFORMAS E MANUTENÇÃO PREDIAL DO CTIC</t>
  </si>
  <si>
    <t>VIAGEM DE CAMPO DA FACULDADE DE TURISMO</t>
  </si>
  <si>
    <t>AQUISIÇÃO DE LIVROS PARA BIBLIOTECA SETORIAL DO ICSA</t>
  </si>
  <si>
    <t>TECNOLOGIA DA INFORMAÇÃO DA ESCOLA DE TEATRO E DANÇA - ETDUFPA/ICA</t>
  </si>
  <si>
    <t>86 m²</t>
  </si>
  <si>
    <t>PAEV</t>
  </si>
  <si>
    <t>PAPQ</t>
  </si>
  <si>
    <t>PACI</t>
  </si>
  <si>
    <t>CAPITAL - PRODUTOR/PARD</t>
  </si>
  <si>
    <t>PIAPA/EDITAL</t>
  </si>
  <si>
    <t>Manutenção de TI/Aquisição de Material de Consumo</t>
  </si>
  <si>
    <t>25</t>
  </si>
  <si>
    <t>2109 - PROGRAMA DE GESTÃO E MANUTENÇÃO DO MINISTÉRIO DA EDUCAÇÃO</t>
  </si>
  <si>
    <t>12.128.2109.4572.0015 - CAPACITAÇÃO DE SERVIDORES PÚBLICOS FEDERAIS EM PROCESSO DE QUALIFICAÇÃO E REQUALIFICAÇÃO</t>
  </si>
  <si>
    <t>Matriz - Hospitais Veterinários</t>
  </si>
  <si>
    <t>Contribuições</t>
  </si>
  <si>
    <t>Obrigações</t>
  </si>
  <si>
    <t>CONTRIBUIÇÃO À ASSOCIAÇÃO NACIONAL DOS DIRIGENTES DAS INSTITUIÇÕES FEDERAIS DE ENSINO SUPERIOR - ANDIFES</t>
  </si>
  <si>
    <t>2030 - EDUCAÇÃO BÁSICA</t>
  </si>
  <si>
    <t>PROGRAMAS,  AÇÕES E SUBAÇÕES SOF/MP e SIDOR/MEC</t>
  </si>
  <si>
    <t>FUNCIONAMENTO DO HOSPITAL VETERINÁRIO</t>
  </si>
  <si>
    <t>AÇÕES ESTRATÉGICAS</t>
  </si>
  <si>
    <t>BOLSA AÇÃO AFIRMATIVA EDITAL EIXO TRANVERSAL (1)</t>
  </si>
  <si>
    <t>LOCAÇÃO DE IMÓVEL EM CASTANHAL - SR. ITAMAR</t>
  </si>
  <si>
    <t>2032 - EDUCAÇÃO SUPERIOR - GRADUAÇÃO, PÓS-GRADUAÇÃO, ENSINO, PESQUISA E EXTENSÃO</t>
  </si>
  <si>
    <t>AQUISIÇÃO DE EQUIPAMENTOS E MATERIAL PERMANENTE DA PREFEITURA</t>
  </si>
  <si>
    <t>A0518G4000N</t>
  </si>
  <si>
    <t>F0713G0100N</t>
  </si>
  <si>
    <t>F0714G0100N</t>
  </si>
  <si>
    <t>F0715G0100N</t>
  </si>
  <si>
    <t>PROGRAMA UFPA: 25 - MATRIZ - HOSPITAIS VETERINÁRIOS</t>
  </si>
  <si>
    <t>A0508G4000N</t>
  </si>
  <si>
    <t>F1202G9500N</t>
  </si>
  <si>
    <t>F2007G0100N</t>
  </si>
  <si>
    <t>FONTE</t>
  </si>
  <si>
    <t>PROGRAMAS  MEC / UFPA</t>
  </si>
  <si>
    <t xml:space="preserve">AQUISIÇÃO DE MATERIAL DE CONSUMO DE USO GERAL </t>
  </si>
  <si>
    <t>MANUTENÇÃO DE EQUIPAMENTOS ODONTOLÓGICOS</t>
  </si>
  <si>
    <t>ASSISTÊNCIA PSICOSSOCIAL AOS DISCENTES DA UFPA</t>
  </si>
  <si>
    <t>AQUISIÇÃO DE MATERIAL E SERVIÇOS DE TECNOLOGIA DA INFORMAÇÃO</t>
  </si>
  <si>
    <t>DIVULGAÇÃO INTERNA E EXTERNA DA AGÊNCIA DE INOVAÇÃO TECNOLÓGICA DA UFPA</t>
  </si>
  <si>
    <t>Programa UFPA: 19 - Assistência Estudantil</t>
  </si>
  <si>
    <t>AQUISIÇÃO DE ACERVO BIBLIOGRÁFICO PARA O CAMPUS DE CASTANHAL</t>
  </si>
  <si>
    <t>PROGRAMA DE BOLSA DE MONITORIA</t>
  </si>
  <si>
    <t>BOLSA AUXÍLIO ACADÊMICO INTERVALAR</t>
  </si>
  <si>
    <t>ANUIDADES DE ASSOCIAÇÕES E AFINS</t>
  </si>
  <si>
    <t>550m²</t>
  </si>
  <si>
    <t>Núcleo de Pesquisa em Oncologia - NPO</t>
  </si>
  <si>
    <t>NPO</t>
  </si>
  <si>
    <t>F0723G0100N</t>
  </si>
  <si>
    <t>Diploma Impresso</t>
  </si>
  <si>
    <t>REUNI</t>
  </si>
  <si>
    <t>ASSISTÊNCIA ESTUDANTIL NA EPT -  EMUFPA/ICA</t>
  </si>
  <si>
    <t>ASSISTÊNCIA ESTUDANTIL NA EPT -  ETDUFPA/ICA</t>
  </si>
  <si>
    <t>APOIO À EVENTOS DE ESTUDANTES</t>
  </si>
  <si>
    <t>MANUTENÇÃO DO HERBÁRIO</t>
  </si>
  <si>
    <t xml:space="preserve">CONTRATO DE SERVIÇOS TERCEIRIZADOS DE TRANSPORTES </t>
  </si>
  <si>
    <r>
      <t>12.364.2032.</t>
    </r>
    <r>
      <rPr>
        <b/>
        <sz val="16"/>
        <rFont val="Arial"/>
        <family val="2"/>
      </rPr>
      <t>20RK</t>
    </r>
    <r>
      <rPr>
        <sz val="16"/>
        <rFont val="Arial"/>
        <family val="2"/>
      </rPr>
      <t xml:space="preserve">.0015 - Funcionamento das Universidades Federais </t>
    </r>
    <r>
      <rPr>
        <b/>
        <sz val="16"/>
        <rFont val="Arial"/>
        <family val="2"/>
      </rPr>
      <t>- PO: 0000</t>
    </r>
  </si>
  <si>
    <r>
      <t>12.128.2109.</t>
    </r>
    <r>
      <rPr>
        <b/>
        <sz val="16"/>
        <rFont val="Arial"/>
        <family val="2"/>
      </rPr>
      <t>4572</t>
    </r>
    <r>
      <rPr>
        <sz val="16"/>
        <rFont val="Arial"/>
        <family val="2"/>
      </rPr>
      <t xml:space="preserve">.0015 - Capacitação de Servidores Públicos Federais em Processo de Qualificação e Requalificação </t>
    </r>
    <r>
      <rPr>
        <b/>
        <sz val="16"/>
        <rFont val="Arial"/>
        <family val="2"/>
      </rPr>
      <t>- PO: 0000</t>
    </r>
  </si>
  <si>
    <r>
      <t>12.364.2109.</t>
    </r>
    <r>
      <rPr>
        <b/>
        <sz val="16"/>
        <rFont val="Arial"/>
        <family val="2"/>
      </rPr>
      <t>20TP</t>
    </r>
    <r>
      <rPr>
        <sz val="16"/>
        <rFont val="Arial"/>
        <family val="2"/>
      </rPr>
      <t xml:space="preserve">.0001 - Pagamento de Pessoal Ativo da União </t>
    </r>
    <r>
      <rPr>
        <b/>
        <sz val="16"/>
        <rFont val="Arial"/>
        <family val="2"/>
      </rPr>
      <t>- PO: 0000</t>
    </r>
  </si>
  <si>
    <r>
      <t>12.122.2109.</t>
    </r>
    <r>
      <rPr>
        <b/>
        <sz val="16"/>
        <rFont val="Arial"/>
        <family val="2"/>
      </rPr>
      <t>09HB</t>
    </r>
    <r>
      <rPr>
        <sz val="16"/>
        <rFont val="Arial"/>
        <family val="2"/>
      </rPr>
      <t xml:space="preserve">.0001 - Contribuição da União, de suas Autarquias e Fundações para o Custeio do Regime de Previdência dos Servidores Públicos Federais </t>
    </r>
    <r>
      <rPr>
        <b/>
        <sz val="16"/>
        <rFont val="Arial"/>
        <family val="2"/>
      </rPr>
      <t>- PO: 0000</t>
    </r>
  </si>
  <si>
    <r>
      <t>09.272.0089.</t>
    </r>
    <r>
      <rPr>
        <b/>
        <sz val="16"/>
        <rFont val="Arial"/>
        <family val="2"/>
      </rPr>
      <t>0181</t>
    </r>
    <r>
      <rPr>
        <sz val="16"/>
        <rFont val="Arial"/>
        <family val="2"/>
      </rPr>
      <t xml:space="preserve">.0015 - Pagamento de Aposentadorias e Pensões - Servidores Civis </t>
    </r>
    <r>
      <rPr>
        <b/>
        <sz val="16"/>
        <rFont val="Arial"/>
        <family val="2"/>
      </rPr>
      <t xml:space="preserve">- PO: 0000 </t>
    </r>
  </si>
  <si>
    <t>BOLSAS DE MONITORIA</t>
  </si>
  <si>
    <t xml:space="preserve">1 - A PROEX autorizou o remanejamento de recursos no valor de: </t>
  </si>
  <si>
    <t>Gabinete da Reitoria - UGR: 151824</t>
  </si>
  <si>
    <t>GESTÃO INSTITUCIONAL - ASSESSORIA DE IMPRENSA</t>
  </si>
  <si>
    <t>GESTÃO INSTITUCIONAL - MUSEU DA UFPA</t>
  </si>
  <si>
    <t>GESTÃO INSTITUCIONAL - AUDIN - AUDITORIA INTERNA</t>
  </si>
  <si>
    <t>GESTÃO INSTITUCIONAL - REITORIA</t>
  </si>
  <si>
    <t>BOLSA DE LÍNGUAS ESTRANGEIRAS</t>
  </si>
  <si>
    <t>BOLSAS CASA DE ESTUDANTE</t>
  </si>
  <si>
    <t>BOLSAS CONEXÕES DE SABERES AÇÃO AFIRMATIVA</t>
  </si>
  <si>
    <t xml:space="preserve">1.2 - R$ 480.000.,00, para atender a PROEG no PI/Ação: P1937G0100N-Bolsas de Monitoria </t>
  </si>
  <si>
    <r>
      <t>12.368.2030.</t>
    </r>
    <r>
      <rPr>
        <b/>
        <sz val="16"/>
        <rFont val="Arial"/>
        <family val="2"/>
      </rPr>
      <t>20RI</t>
    </r>
    <r>
      <rPr>
        <sz val="16"/>
        <rFont val="Arial"/>
        <family val="2"/>
      </rPr>
      <t xml:space="preserve">.0015 - Funcionamento das Instituições Federais de Educação Básica </t>
    </r>
  </si>
  <si>
    <t>30</t>
  </si>
  <si>
    <t>Programa UFPA: 30 - Assistência ao Educando do Ensino Técnico</t>
  </si>
  <si>
    <t>Assistência ao Educando do Ensino Técnico</t>
  </si>
  <si>
    <t>Combustível Adquirido</t>
  </si>
  <si>
    <t>FISCALIZAÇÃO E VISITAS TÉCNICAS EM OBRAS</t>
  </si>
  <si>
    <t>Ação Monotirada</t>
  </si>
  <si>
    <t>LICENCIAMENTO DE VEÍCULOS - DETRAN</t>
  </si>
  <si>
    <t>A018BG0100N</t>
  </si>
  <si>
    <t>PROJETO DE BEM COM A VIDA</t>
  </si>
  <si>
    <t>A019BG0100N</t>
  </si>
  <si>
    <t>PROJETO DE ATENÇÃO BIOPSICOSSOCIAL DO SERVIDOR DA UFPA</t>
  </si>
  <si>
    <t xml:space="preserve">Servidor Atendido </t>
  </si>
  <si>
    <t>A011CG0100N</t>
  </si>
  <si>
    <t>PROJETO INTERIORIZAÇÃO DA PASS/SIASS</t>
  </si>
  <si>
    <t>GESTÃO DA AUTO-AVALIAÇÃO DA UFPA</t>
  </si>
  <si>
    <t>GESTÃO DA INFORMAÇÃO DA UFPA</t>
  </si>
  <si>
    <t>GESTÃO DO ORÇAMENTO DA UFPA</t>
  </si>
  <si>
    <t>PADT</t>
  </si>
  <si>
    <t xml:space="preserve">PIBIC UFPA </t>
  </si>
  <si>
    <t>PIBIC PRODOUTOR (PARD/PARC)</t>
  </si>
  <si>
    <t>PIBIC INTERIOR</t>
  </si>
  <si>
    <t xml:space="preserve">1.1 - R$ 480.000,00, para atender a PROPESP no PI/Ação: P1921G0100N-Bolsas PIBIC </t>
  </si>
  <si>
    <t>F0724G0100N</t>
  </si>
  <si>
    <t>VIAGEM DE CAMPO DO CAMPUS DE BRAGANÇA</t>
  </si>
  <si>
    <t>GESTÃO DO PLANEJAMENTO ACADÊMICO DA UFPA</t>
  </si>
  <si>
    <t>F0725G0100N</t>
  </si>
  <si>
    <t>APOIO A PROJETOS</t>
  </si>
  <si>
    <t>I1335G0100N</t>
  </si>
  <si>
    <t>CAPACITAÇÃO DE SERVIDORES TÉCNICOS ADMINISTRATIVOS DAS UNIDADES ACADÊMICAS</t>
  </si>
  <si>
    <r>
      <t xml:space="preserve">MATRIZ ORÇAMENTÁRIA PARA FUNCIONAMENTO DE CURSOS DE GRADUAÇÃO  </t>
    </r>
    <r>
      <rPr>
        <b/>
        <sz val="22"/>
        <rFont val="Arial"/>
        <family val="2"/>
      </rPr>
      <t/>
    </r>
  </si>
  <si>
    <r>
      <t xml:space="preserve">PROINFRA (Custeio + Capital) </t>
    </r>
    <r>
      <rPr>
        <b/>
        <sz val="18"/>
        <rFont val="Arial"/>
        <family val="2"/>
      </rPr>
      <t xml:space="preserve"> </t>
    </r>
  </si>
  <si>
    <r>
      <t>12.364.2031.</t>
    </r>
    <r>
      <rPr>
        <b/>
        <sz val="16"/>
        <rFont val="Arial"/>
        <family val="2"/>
      </rPr>
      <t>20RL</t>
    </r>
    <r>
      <rPr>
        <sz val="16"/>
        <rFont val="Arial"/>
        <family val="2"/>
      </rPr>
      <t xml:space="preserve">.0015 - Funcionamento de Instituições Federais de Educação Profissional e Tecnológica - Matriz CONDETUF </t>
    </r>
    <r>
      <rPr>
        <b/>
        <sz val="16"/>
        <rFont val="Arial"/>
        <family val="2"/>
      </rPr>
      <t>- PO: 0000</t>
    </r>
  </si>
  <si>
    <t>F0303G0100N</t>
  </si>
  <si>
    <t>I1319G0100N</t>
  </si>
  <si>
    <t>I1337G0100N</t>
  </si>
  <si>
    <r>
      <t>28.846.0901.</t>
    </r>
    <r>
      <rPr>
        <b/>
        <sz val="16"/>
        <color indexed="8"/>
        <rFont val="Arial"/>
        <family val="2"/>
      </rPr>
      <t>0005</t>
    </r>
    <r>
      <rPr>
        <sz val="16"/>
        <color indexed="8"/>
        <rFont val="Arial"/>
        <family val="2"/>
      </rPr>
      <t xml:space="preserve">.0015 - Cumprimento de Sentança Judicial Transitada em Julgado (Precatórios) </t>
    </r>
    <r>
      <rPr>
        <b/>
        <sz val="16"/>
        <color indexed="8"/>
        <rFont val="Arial"/>
        <family val="2"/>
      </rPr>
      <t>- PO: 0000 / PO: 0001</t>
    </r>
  </si>
  <si>
    <t>ASCOM - UGR: 150030</t>
  </si>
  <si>
    <t>1.900 L</t>
  </si>
  <si>
    <t>CONTRATO DE MONITORAMENTO E SISTEMAS DE ALARME</t>
  </si>
  <si>
    <t>MANUTENÇÃO E RECARGA DOS EXTINTORES DA UFPA</t>
  </si>
  <si>
    <t>Área Recuperada/ Reformada</t>
  </si>
  <si>
    <t>PARTICIPAÇÃO NA IMPLANTAÇÃO E MANUTENÇÃO DO SIG E OUTROS SITEMAS RELACIONADOS</t>
  </si>
  <si>
    <t>SEMINÁRIO DE AVALIAÇÃO DE RESULTADO DO PROGRAMA PROINT</t>
  </si>
  <si>
    <t>DINTER PROPESP</t>
  </si>
  <si>
    <t>XVIII JORNADA DE EXTENSÃO UNIVERSITÁRIA</t>
  </si>
  <si>
    <t>Campus de Salinópolis</t>
  </si>
  <si>
    <t>Iniciativa Apoiada (unidade)</t>
  </si>
  <si>
    <t>MATRIZ - HOSPITAIS VETERINÁRIOS</t>
  </si>
  <si>
    <t>ASSISTÊNCIA AO EDUCANDO DO ENSINO TÉCNICO</t>
  </si>
  <si>
    <t>Inglês Sem Fronteiras (PO 0000 - Fomento às ações de Graduação, Pós-Graduação, Ensino, Pesquisa e Extensão - Despesas diversas)</t>
  </si>
  <si>
    <t>INGLÊS SEM FRONTEIRAS (PO 0000 - FOMENTO ÀS AÇÕES DE GRADUAÇÃO, PÓS-GRADUAÇÃO, ENSINO, PESQUISA E EXTENSÃO - DESPESAS DIVERSAS)</t>
  </si>
  <si>
    <r>
      <t>12.364.2032.</t>
    </r>
    <r>
      <rPr>
        <b/>
        <sz val="16"/>
        <rFont val="Arial"/>
        <family val="2"/>
      </rPr>
      <t>8282</t>
    </r>
    <r>
      <rPr>
        <sz val="16"/>
        <rFont val="Arial"/>
        <family val="2"/>
      </rPr>
      <t>.0015 - Reestruturação e Expasão das Universidades Federais -</t>
    </r>
    <r>
      <rPr>
        <b/>
        <sz val="16"/>
        <rFont val="Arial"/>
        <family val="2"/>
      </rPr>
      <t xml:space="preserve"> PO: 0000 / PO: 0001</t>
    </r>
  </si>
  <si>
    <t>OBS</t>
  </si>
  <si>
    <t>31</t>
  </si>
  <si>
    <t>32</t>
  </si>
  <si>
    <t>33</t>
  </si>
  <si>
    <t>PDU</t>
  </si>
  <si>
    <t>OBS:</t>
  </si>
  <si>
    <t>APOIO À REALIZAÇÃO DE EVENTOS EXTENSIONISTAS</t>
  </si>
  <si>
    <t>APOIO À REALIZAÇÃO DE ATIVIDADES EXTENSIONISTAS</t>
  </si>
  <si>
    <t>INCENTIVO A PRODUÇÃO ACADÊMICO EXTESIONISTA</t>
  </si>
  <si>
    <t>INCENTIVO A PRODUÇÃO EXTESIONISTA</t>
  </si>
  <si>
    <t>serviços Gráficos, passagens e diárias</t>
  </si>
  <si>
    <t>Aquisição de  material de consumo</t>
  </si>
  <si>
    <t>Produção de Material Academicos</t>
  </si>
  <si>
    <t>C. SALINÓPOLIS</t>
  </si>
  <si>
    <t>PROGRAMA UFPA: 04 - PROINFRA</t>
  </si>
  <si>
    <t>M0153G0109N</t>
  </si>
  <si>
    <t>M0156G0112N</t>
  </si>
  <si>
    <t>M0175G0108N</t>
  </si>
  <si>
    <t>M0189G0101N</t>
  </si>
  <si>
    <t>M0158G0101N</t>
  </si>
  <si>
    <t>M0104G2004N</t>
  </si>
  <si>
    <t>M0105G0119N</t>
  </si>
  <si>
    <t>M0106G0109N</t>
  </si>
  <si>
    <t>M0107G0110N</t>
  </si>
  <si>
    <t>M0109G0109N</t>
  </si>
  <si>
    <t>M0110G0119N</t>
  </si>
  <si>
    <t>M0113G0101N</t>
  </si>
  <si>
    <t>M0117G0101N</t>
  </si>
  <si>
    <t>M0119G0119N</t>
  </si>
  <si>
    <t>M0122G0101N</t>
  </si>
  <si>
    <t>M0126G0101N</t>
  </si>
  <si>
    <t>M0129G0101N</t>
  </si>
  <si>
    <t>M0183G1919N</t>
  </si>
  <si>
    <t>M0185G0101N</t>
  </si>
  <si>
    <t>M0135G0101N</t>
  </si>
  <si>
    <t>M0146G0119N</t>
  </si>
  <si>
    <t>M0147G0101N</t>
  </si>
  <si>
    <t>M0150G0101N</t>
  </si>
  <si>
    <t>M0152G0101N</t>
  </si>
  <si>
    <t>M0186G0101N</t>
  </si>
  <si>
    <t>M012BG0101N</t>
  </si>
  <si>
    <t>M016BG0101N</t>
  </si>
  <si>
    <t>M017BG0101N</t>
  </si>
  <si>
    <t>M013CG0114N</t>
  </si>
  <si>
    <t>M014CG0114N</t>
  </si>
  <si>
    <t>M015CG0114N</t>
  </si>
  <si>
    <t>M016CG0120N</t>
  </si>
  <si>
    <t>M019CG0114N</t>
  </si>
  <si>
    <t>O0193O2002N</t>
  </si>
  <si>
    <t>O0195O2002N</t>
  </si>
  <si>
    <t>O0196O2003N</t>
  </si>
  <si>
    <t>O017CO1916N</t>
  </si>
  <si>
    <t>M0167G0114N</t>
  </si>
  <si>
    <t>M0168G0103N</t>
  </si>
  <si>
    <t>M0197G0108N</t>
  </si>
  <si>
    <t>M0198G0119N</t>
  </si>
  <si>
    <t>M0199G0108N</t>
  </si>
  <si>
    <t>M011AG0108N</t>
  </si>
  <si>
    <t>M012AG0109N</t>
  </si>
  <si>
    <t>M0169G9505N</t>
  </si>
  <si>
    <t>M014AG0109N</t>
  </si>
  <si>
    <t>M011BG0101N</t>
  </si>
  <si>
    <t>M0171G0102N</t>
  </si>
  <si>
    <t>M0172G0102N</t>
  </si>
  <si>
    <t>M0173G0102N</t>
  </si>
  <si>
    <t>M0201G1904N</t>
  </si>
  <si>
    <t>M0202G1904N</t>
  </si>
  <si>
    <t>M0203G0105N</t>
  </si>
  <si>
    <t>M0205G1905N</t>
  </si>
  <si>
    <t>M0204G1905E</t>
  </si>
  <si>
    <t>M0206G1905N</t>
  </si>
  <si>
    <t>M0207G0105N</t>
  </si>
  <si>
    <t>M0208G1905N</t>
  </si>
  <si>
    <t>M0209G1905N</t>
  </si>
  <si>
    <t>M0255G1905N</t>
  </si>
  <si>
    <t>M0294G1905N</t>
  </si>
  <si>
    <t>M0295G0105N</t>
  </si>
  <si>
    <t>M0210G0105N</t>
  </si>
  <si>
    <t>M0211G0105N</t>
  </si>
  <si>
    <t>M0212G0112N</t>
  </si>
  <si>
    <t>M0213G0105N</t>
  </si>
  <si>
    <t>M0214G2305N</t>
  </si>
  <si>
    <t>M0301G1905N</t>
  </si>
  <si>
    <t>O0301O1905N</t>
  </si>
  <si>
    <t>M0401G1919N</t>
  </si>
  <si>
    <t>O0401O1919N</t>
  </si>
  <si>
    <t>M0801G2102N</t>
  </si>
  <si>
    <t>M0802G2102N</t>
  </si>
  <si>
    <t>M0803G2102N</t>
  </si>
  <si>
    <t>M0805G2102N</t>
  </si>
  <si>
    <t>M0807G2102N</t>
  </si>
  <si>
    <t>N1001O9916N</t>
  </si>
  <si>
    <t>O1002O1905N</t>
  </si>
  <si>
    <t>O1004O0105N</t>
  </si>
  <si>
    <t>M2001G0119N</t>
  </si>
  <si>
    <t>M2003G0119N</t>
  </si>
  <si>
    <t>M2004G0119N</t>
  </si>
  <si>
    <t>M2005G0119N</t>
  </si>
  <si>
    <t>M2012G0119N</t>
  </si>
  <si>
    <t>M2007G1919N</t>
  </si>
  <si>
    <t>O2007O1919N</t>
  </si>
  <si>
    <t>O2301O2002N</t>
  </si>
  <si>
    <t>O2302O2002N</t>
  </si>
  <si>
    <t>O2304O2002N</t>
  </si>
  <si>
    <t>O2305O2002N</t>
  </si>
  <si>
    <t>O2306O2002N</t>
  </si>
  <si>
    <t>O2307O2002N</t>
  </si>
  <si>
    <t>O2308O2006N</t>
  </si>
  <si>
    <t>M2401G0107N</t>
  </si>
  <si>
    <t>M2501G1905N</t>
  </si>
  <si>
    <t>PROGRAMA UFPA: 30 - ASSISTÊNCIA AO EDUCANDO DO ENSINO TÉCNICO</t>
  </si>
  <si>
    <t>L3001P2301N</t>
  </si>
  <si>
    <t>L3002P2301N</t>
  </si>
  <si>
    <t>M3201G1905N</t>
  </si>
  <si>
    <t>PLANO INTERNO 2014 (PI/SIAFI)</t>
  </si>
  <si>
    <t>M1301G0116N</t>
  </si>
  <si>
    <t>M1302G0116N</t>
  </si>
  <si>
    <t>M1328G0116N</t>
  </si>
  <si>
    <t>M1323G0116N</t>
  </si>
  <si>
    <t>M1310G0116N</t>
  </si>
  <si>
    <t>M1309G0116N</t>
  </si>
  <si>
    <t>M1339G0116N</t>
  </si>
  <si>
    <t>M1901G2301N</t>
  </si>
  <si>
    <t>M1908G2301N</t>
  </si>
  <si>
    <t>M1944G2301N</t>
  </si>
  <si>
    <t>M1911G2301N</t>
  </si>
  <si>
    <t>M1913G2301N</t>
  </si>
  <si>
    <t>M1915G2301N</t>
  </si>
  <si>
    <t>M1918G2301N</t>
  </si>
  <si>
    <t>M1919G2301N</t>
  </si>
  <si>
    <t>M1924G2301N</t>
  </si>
  <si>
    <t>M1925G2301N</t>
  </si>
  <si>
    <t>M1926G2301N</t>
  </si>
  <si>
    <r>
      <t>12.364.2032.</t>
    </r>
    <r>
      <rPr>
        <b/>
        <sz val="16"/>
        <rFont val="Arial"/>
        <family val="2"/>
      </rPr>
      <t>20GK</t>
    </r>
    <r>
      <rPr>
        <sz val="16"/>
        <rFont val="Arial"/>
        <family val="2"/>
      </rPr>
      <t xml:space="preserve">.0015 - Fomento às Ações de Ensino Pesquisa e Extensão </t>
    </r>
    <r>
      <rPr>
        <b/>
        <sz val="16"/>
        <rFont val="Arial"/>
        <family val="2"/>
      </rPr>
      <t>- PO: 0000 / PO: 0001 / PO: 0003</t>
    </r>
  </si>
  <si>
    <t>M015DG0119N</t>
  </si>
  <si>
    <t>M016DG0119N</t>
  </si>
  <si>
    <t>M02A1G1905N</t>
  </si>
  <si>
    <t>M1401G2201N</t>
  </si>
  <si>
    <t>L1501P1905N</t>
  </si>
  <si>
    <t>L1502P1905N</t>
  </si>
  <si>
    <t>L1503P1905N</t>
  </si>
  <si>
    <t>L1504P1905N</t>
  </si>
  <si>
    <t>B1701F1905N</t>
  </si>
  <si>
    <t>B1701F1919N</t>
  </si>
  <si>
    <t>B1702F1919N</t>
  </si>
  <si>
    <t>B1703F4119N</t>
  </si>
  <si>
    <t>M0174G0108N</t>
  </si>
  <si>
    <t>AQUISIÇÃO DE MOBILIÁRIO E EQUIPAMENTOS PARA PROINTER</t>
  </si>
  <si>
    <t>AQUISIÇÃO DE MOBILIÁRIO E EQUIPAMENTOS PARA O CTIC</t>
  </si>
  <si>
    <t>RECUPERAÇÃO DA INFRA-ESTRUTURA DAS UNIDADES ACADÊMICAS</t>
  </si>
  <si>
    <t>CAPACITAÇÃO PARA OS TÉCNICOS DO CTIC</t>
  </si>
  <si>
    <t>MANUTENÇÃO E MODERNIZAÇÃO DO PARQUE TECNOLÓGICO DO IEMCI</t>
  </si>
  <si>
    <t>M02A7G1905N</t>
  </si>
  <si>
    <r>
      <t>12.331.2109.</t>
    </r>
    <r>
      <rPr>
        <b/>
        <sz val="16"/>
        <rFont val="Arial"/>
        <family val="2"/>
      </rPr>
      <t>00M1</t>
    </r>
    <r>
      <rPr>
        <sz val="16"/>
        <rFont val="Arial"/>
        <family val="2"/>
      </rPr>
      <t xml:space="preserve">.0015 - Benefícios Assistenciais Decorrentes ao Auxílio-Funeral e Natalidade </t>
    </r>
    <r>
      <rPr>
        <b/>
        <sz val="16"/>
        <rFont val="Arial"/>
        <family val="2"/>
      </rPr>
      <t>- PO: 0000</t>
    </r>
  </si>
  <si>
    <t>087093</t>
  </si>
  <si>
    <r>
      <t>12.364.2031.</t>
    </r>
    <r>
      <rPr>
        <b/>
        <sz val="16"/>
        <rFont val="Arial"/>
        <family val="2"/>
      </rPr>
      <t>2994</t>
    </r>
    <r>
      <rPr>
        <sz val="16"/>
        <rFont val="Arial"/>
        <family val="2"/>
      </rPr>
      <t>.0015 - Assistência ao Educando da Educação Profissional</t>
    </r>
    <r>
      <rPr>
        <b/>
        <sz val="16"/>
        <rFont val="Arial"/>
        <family val="2"/>
      </rPr>
      <t xml:space="preserve"> </t>
    </r>
    <r>
      <rPr>
        <sz val="16"/>
        <rFont val="Arial"/>
        <family val="2"/>
      </rPr>
      <t>e Tecnológica</t>
    </r>
    <r>
      <rPr>
        <b/>
        <sz val="16"/>
        <rFont val="Arial"/>
        <family val="2"/>
      </rPr>
      <t xml:space="preserve"> - PO: 0000</t>
    </r>
  </si>
  <si>
    <t>087097</t>
  </si>
  <si>
    <r>
      <t>12.364.2032.</t>
    </r>
    <r>
      <rPr>
        <b/>
        <sz val="16"/>
        <rFont val="Arial"/>
        <family val="2"/>
      </rPr>
      <t>4002</t>
    </r>
    <r>
      <rPr>
        <sz val="16"/>
        <rFont val="Arial"/>
        <family val="2"/>
      </rPr>
      <t xml:space="preserve">.0015 - Assistência ao Estudante de Ensino Superior </t>
    </r>
    <r>
      <rPr>
        <b/>
        <sz val="16"/>
        <rFont val="Arial"/>
        <family val="2"/>
      </rPr>
      <t>- PO: 0000 / PO: 0001</t>
    </r>
  </si>
  <si>
    <r>
      <t>12.301.2109.</t>
    </r>
    <r>
      <rPr>
        <b/>
        <sz val="16"/>
        <rFont val="Arial"/>
        <family val="2"/>
      </rPr>
      <t>2004</t>
    </r>
    <r>
      <rPr>
        <sz val="16"/>
        <rFont val="Arial"/>
        <family val="2"/>
      </rPr>
      <t xml:space="preserve">.0015 - Assistência Médica e Odontólogica aos Servidores Civis, Empregados, Militares e seus Dependentes </t>
    </r>
    <r>
      <rPr>
        <b/>
        <sz val="16"/>
        <rFont val="Arial"/>
        <family val="2"/>
      </rPr>
      <t>- PO: 0001</t>
    </r>
    <r>
      <rPr>
        <sz val="16"/>
        <rFont val="Arial"/>
        <family val="2"/>
      </rPr>
      <t xml:space="preserve"> /</t>
    </r>
    <r>
      <rPr>
        <b/>
        <sz val="16"/>
        <rFont val="Arial"/>
        <family val="2"/>
      </rPr>
      <t xml:space="preserve"> PO: 0002</t>
    </r>
  </si>
  <si>
    <t>INCLUIR - (PO: 0001)</t>
  </si>
  <si>
    <t>OBS: Foi necessário remanejar o valor de 7.440,00.do Programa UFPA 06 - Capital para o Programa UFPA 01 - Custeio (Contrato de vigilância).</t>
  </si>
  <si>
    <t>O1003O0105N</t>
  </si>
  <si>
    <t>EDITORA DA UFPA - UGR: 156008</t>
  </si>
  <si>
    <t>UGR: 152751</t>
  </si>
  <si>
    <t>UGR: 152366</t>
  </si>
  <si>
    <t>Programa UFPA: 13 - Capacitação do Servidor</t>
  </si>
  <si>
    <t>C. ANANINDEUA</t>
  </si>
  <si>
    <t>UGR: 152761</t>
  </si>
  <si>
    <t>Campus de Ananindeua</t>
  </si>
  <si>
    <t>CONTRATO DE ALUGUEL - CAMPUS DE ANANINDEUA</t>
  </si>
  <si>
    <t>VIAGENS DE CAMPO DO CAMPUS DE CAMETÁ - AGRONOMIA</t>
  </si>
  <si>
    <t>PLOA 2016</t>
  </si>
  <si>
    <r>
      <t>12.128.2109.</t>
    </r>
    <r>
      <rPr>
        <b/>
        <sz val="20"/>
        <rFont val="Arial"/>
        <family val="2"/>
      </rPr>
      <t>4572</t>
    </r>
    <r>
      <rPr>
        <sz val="20"/>
        <rFont val="Arial"/>
        <family val="2"/>
      </rPr>
      <t xml:space="preserve">.0015 - Capacitação de Servidores Públicos Federais em Processo de Qualificação e Requalificação </t>
    </r>
    <r>
      <rPr>
        <b/>
        <sz val="20"/>
        <rFont val="Arial"/>
        <family val="2"/>
      </rPr>
      <t>- PO: 0001</t>
    </r>
    <r>
      <rPr>
        <sz val="10"/>
        <rFont val="Arial"/>
        <family val="2"/>
      </rPr>
      <t/>
    </r>
  </si>
  <si>
    <r>
      <t>12.122.2109.</t>
    </r>
    <r>
      <rPr>
        <b/>
        <sz val="20"/>
        <rFont val="Arial"/>
        <family val="2"/>
      </rPr>
      <t>09HB</t>
    </r>
    <r>
      <rPr>
        <sz val="20"/>
        <rFont val="Arial"/>
        <family val="2"/>
      </rPr>
      <t xml:space="preserve">.0001 - Contribuição da União, de suas Autarquias e Fundações para o Custeio do Regime de Previdência dos Servidores Públicos Federais </t>
    </r>
    <r>
      <rPr>
        <b/>
        <sz val="20"/>
        <rFont val="Arial"/>
        <family val="2"/>
      </rPr>
      <t>- PO: 0001</t>
    </r>
    <r>
      <rPr>
        <sz val="10"/>
        <rFont val="Arial"/>
        <family val="2"/>
      </rPr>
      <t/>
    </r>
  </si>
  <si>
    <r>
      <t>12.364.2109.</t>
    </r>
    <r>
      <rPr>
        <b/>
        <sz val="20"/>
        <rFont val="Arial"/>
        <family val="2"/>
      </rPr>
      <t>20TP</t>
    </r>
    <r>
      <rPr>
        <sz val="20"/>
        <rFont val="Arial"/>
        <family val="2"/>
      </rPr>
      <t xml:space="preserve">.0001 - Pagamento de Pessoal Ativo da União </t>
    </r>
    <r>
      <rPr>
        <b/>
        <sz val="20"/>
        <rFont val="Arial"/>
        <family val="2"/>
      </rPr>
      <t>- PO: 0001</t>
    </r>
    <r>
      <rPr>
        <sz val="10"/>
        <rFont val="Arial"/>
        <family val="2"/>
      </rPr>
      <t/>
    </r>
  </si>
  <si>
    <r>
      <t>09.272.0089.</t>
    </r>
    <r>
      <rPr>
        <b/>
        <sz val="20"/>
        <rFont val="Arial"/>
        <family val="2"/>
      </rPr>
      <t>0181</t>
    </r>
    <r>
      <rPr>
        <sz val="20"/>
        <rFont val="Arial"/>
        <family val="2"/>
      </rPr>
      <t xml:space="preserve">.0015 - Pagamento de Aposentadorias e Pensões - Servidores Civis </t>
    </r>
    <r>
      <rPr>
        <b/>
        <sz val="20"/>
        <rFont val="Arial"/>
        <family val="2"/>
      </rPr>
      <t xml:space="preserve">- PO: 0000 </t>
    </r>
  </si>
  <si>
    <t>2080 - EDUCAÇÃO DE QUALIDADE PARA TODOS</t>
  </si>
  <si>
    <r>
      <t>2080.</t>
    </r>
    <r>
      <rPr>
        <b/>
        <sz val="20"/>
        <rFont val="Arial"/>
        <family val="2"/>
      </rPr>
      <t>20RL</t>
    </r>
    <r>
      <rPr>
        <sz val="20"/>
        <rFont val="Arial"/>
        <family val="2"/>
      </rPr>
      <t xml:space="preserve">.0015 - Funcionamento de Instituições Federais de Educação Profissional e Tecnológica - Matriz CONDETUF </t>
    </r>
    <r>
      <rPr>
        <b/>
        <sz val="20"/>
        <rFont val="Arial"/>
        <family val="2"/>
      </rPr>
      <t>- PO: 0001</t>
    </r>
    <r>
      <rPr>
        <sz val="10"/>
        <rFont val="Arial"/>
        <family val="2"/>
      </rPr>
      <t/>
    </r>
  </si>
  <si>
    <r>
      <t>2080.</t>
    </r>
    <r>
      <rPr>
        <b/>
        <sz val="20"/>
        <rFont val="Arial"/>
        <family val="2"/>
      </rPr>
      <t>20RK</t>
    </r>
    <r>
      <rPr>
        <sz val="20"/>
        <rFont val="Arial"/>
        <family val="2"/>
      </rPr>
      <t xml:space="preserve">.0015 - Funcionamento das Universidades Federais </t>
    </r>
    <r>
      <rPr>
        <b/>
        <sz val="20"/>
        <rFont val="Arial"/>
        <family val="2"/>
      </rPr>
      <t>- PO: 0000</t>
    </r>
  </si>
  <si>
    <t>0910 - OPERAÇÕES ESPECIAIS: GESTÃO DA PARTICIPAÇÃO EM ORGANISMOS E ENTIDADES NACIONAIS E INTERNACIONAIS</t>
  </si>
  <si>
    <t xml:space="preserve">PROGRAMA UFPA: 24 - Contribuições e Anuidades a Organismos e Entidades </t>
  </si>
  <si>
    <t>CONTRIBUIÇÕES E ANUIDADES DIVERSAS</t>
  </si>
  <si>
    <t>Programa UFPA: 24 - CONTRIBUIÇÕES E ANUIDADES A ORGANISMOS E ENTIDADES</t>
  </si>
  <si>
    <t>24</t>
  </si>
  <si>
    <t>Contribuições e Anuidades a Organismos e Entidades</t>
  </si>
  <si>
    <t>CONTRIBUIÇÕES E ANUIDADES A ORGANISMOS E ENTIDADES</t>
  </si>
  <si>
    <t>PROINTER: PRÓ-REITORIA DE RELAÇÕES INTERNACIONAIS - UGR - 150156</t>
  </si>
  <si>
    <t>PROGRAMA UFPA: 34 - ASSISTÊNCIA ESTUDANTIL - AUX. FINANCEIRO AO ESTUDANTE</t>
  </si>
  <si>
    <t>Programa UFPA: 34 - ASSISTÊNCIA ESTUDANTIL - AUX. FINANCEIRO AO ESTUDANTE</t>
  </si>
  <si>
    <t>34</t>
  </si>
  <si>
    <t>ASSISTÊNCIA ESTUDANTIL - AUX. FINANCEIRO AO ESTUDANTE</t>
  </si>
  <si>
    <t>Programa UFPA: 34 - Assistência Estudantil - Aux. Financeiro ao Estudante</t>
  </si>
  <si>
    <t>AUXÍLIO FINANCEIRO A ESTUDANTE - PROMISAES</t>
  </si>
  <si>
    <t>Ambiente Físico Modernizado/ Recuperado</t>
  </si>
  <si>
    <t>VIAGENS DE CAMPO DO CAMPUS DE CAMETÁ - GEOGRAFIA</t>
  </si>
  <si>
    <t>Assistência Estudantil - Aux. Financeiro ao Estudante</t>
  </si>
  <si>
    <t>REUNI - 20RK</t>
  </si>
  <si>
    <t>OCC - RECURSOS PRÓPRIOS</t>
  </si>
  <si>
    <r>
      <t>2080.</t>
    </r>
    <r>
      <rPr>
        <b/>
        <sz val="20"/>
        <rFont val="Arial"/>
        <family val="2"/>
      </rPr>
      <t>20RK</t>
    </r>
    <r>
      <rPr>
        <sz val="20"/>
        <rFont val="Arial"/>
        <family val="2"/>
      </rPr>
      <t>.0015 - Funcionamento das Universidades Federais</t>
    </r>
  </si>
  <si>
    <t>LIMITE SIMEC</t>
  </si>
  <si>
    <t>PLOA 2016 X LIMITE</t>
  </si>
  <si>
    <t>OCC - RECURSOS MEC</t>
  </si>
  <si>
    <t>RECURSOS</t>
  </si>
  <si>
    <t>20RK</t>
  </si>
  <si>
    <t>Custeio</t>
  </si>
  <si>
    <t>Capital</t>
  </si>
  <si>
    <t>Total</t>
  </si>
  <si>
    <t>Proposta orçamentária 2016</t>
  </si>
  <si>
    <t>Fonte</t>
  </si>
  <si>
    <t>Proposta Orçamentária x PLOA 2016</t>
  </si>
  <si>
    <t>M18A8G1901N</t>
  </si>
  <si>
    <t>Projeto apoiado</t>
  </si>
  <si>
    <t>PROGRAMA UFPA: 35 - REUNI - 20RK</t>
  </si>
  <si>
    <t>35</t>
  </si>
  <si>
    <t>M2402G0107N</t>
  </si>
  <si>
    <t>M186AG1903N</t>
  </si>
  <si>
    <t>M3402G2301N</t>
  </si>
  <si>
    <t>M3504G0114N</t>
  </si>
  <si>
    <t>M18B2G0114N</t>
  </si>
  <si>
    <t>GESTÃO DO PLANO DE DESENVOLVIMENTO DA UFPA - 2011-2015</t>
  </si>
  <si>
    <t>M3403G2301N</t>
  </si>
  <si>
    <t>Programa UFPA: 35 - REUNI -20RK</t>
  </si>
  <si>
    <t>M3512G0101N</t>
  </si>
  <si>
    <t>M3404G2301N</t>
  </si>
  <si>
    <t>M3406G2301N</t>
  </si>
  <si>
    <t>M3407G2301N</t>
  </si>
  <si>
    <t>M3409G2301N</t>
  </si>
  <si>
    <t>M3410G2301N</t>
  </si>
  <si>
    <t>M3411G2301N</t>
  </si>
  <si>
    <t>M3412G2301N</t>
  </si>
  <si>
    <t>M3413G2301N</t>
  </si>
  <si>
    <t>M3418G2301N</t>
  </si>
  <si>
    <t>M3419G2301N</t>
  </si>
  <si>
    <t>M3421G2301N</t>
  </si>
  <si>
    <t>M3422G2301N</t>
  </si>
  <si>
    <t>M3423G2301N</t>
  </si>
  <si>
    <t xml:space="preserve">  </t>
  </si>
  <si>
    <t>Iniciativa apoiada</t>
  </si>
  <si>
    <t>Estudante Matriculado</t>
  </si>
  <si>
    <t>Benefício Concedido</t>
  </si>
  <si>
    <t>Projeto Viabilizado</t>
  </si>
  <si>
    <t>Percentual de Dedução</t>
  </si>
  <si>
    <t>Percentual de Distribuição</t>
  </si>
  <si>
    <t>VALORES APÓS CONTINGENCIAMENTO</t>
  </si>
  <si>
    <t>108288</t>
  </si>
  <si>
    <t>108292</t>
  </si>
  <si>
    <t>108291</t>
  </si>
  <si>
    <t>108293</t>
  </si>
  <si>
    <t>108294</t>
  </si>
  <si>
    <t>108286</t>
  </si>
  <si>
    <t>108287</t>
  </si>
  <si>
    <r>
      <t>2080.</t>
    </r>
    <r>
      <rPr>
        <b/>
        <sz val="20"/>
        <rFont val="Arial"/>
        <family val="2"/>
      </rPr>
      <t>20RK</t>
    </r>
    <r>
      <rPr>
        <sz val="20"/>
        <rFont val="Arial"/>
        <family val="2"/>
      </rPr>
      <t xml:space="preserve">.0015 - Funcionamento das Universidades Federais </t>
    </r>
    <r>
      <rPr>
        <b/>
        <sz val="20"/>
        <rFont val="Arial"/>
        <family val="2"/>
      </rPr>
      <t>- PO: 0001</t>
    </r>
  </si>
  <si>
    <t>12.364.2080.20RK.0015 - FUNCIONAMENTO DAS UNIVERSIDADES FEDERAIS - REUNI</t>
  </si>
  <si>
    <t>12.364.2080.20RK.0015 - PO: 0001</t>
  </si>
  <si>
    <t>12.364.2080.20RL.0015 - FUNCIONAMENTO DE INSTITUIÇÕES FEDERAIS DE EDUCAÇÃO PROFISSIONAL E TECNOLÓGICA - Matriz CONDETUF ¹</t>
  </si>
  <si>
    <t xml:space="preserve">12.364.2080.8282.0015 - REESTRUTURAÇÃO E EXPANSÃO DAS UNIVERSIDADES FEDERAIS - REUNI </t>
  </si>
  <si>
    <t>108289</t>
  </si>
  <si>
    <t>108289 / 108295</t>
  </si>
  <si>
    <t>12.364.2080.4002.0015 - ASSISTÊNCIA AO ESTUDANTE DE ENSINO SUPERIOR - PO: 0000 / PO: 0001 / PO: 0003</t>
  </si>
  <si>
    <t>108298</t>
  </si>
  <si>
    <t>M0808G2104N</t>
  </si>
  <si>
    <t>M0809G2104N</t>
  </si>
  <si>
    <t>M0810G2104N</t>
  </si>
  <si>
    <t>108290</t>
  </si>
  <si>
    <t>FONTES DE FINANCIAMENTO: 250, 280 e 281 - RECURSOS PRÓPRIOS</t>
  </si>
  <si>
    <t>M3426G2301N</t>
  </si>
  <si>
    <t>108296</t>
  </si>
  <si>
    <t>M18B5G4101N</t>
  </si>
  <si>
    <t xml:space="preserve">12.364.2080.8282.0015 - REUNI </t>
  </si>
  <si>
    <t>111701</t>
  </si>
  <si>
    <r>
      <t>12.331.2109.</t>
    </r>
    <r>
      <rPr>
        <b/>
        <sz val="20"/>
        <rFont val="Arial"/>
        <family val="2"/>
      </rPr>
      <t>216H</t>
    </r>
    <r>
      <rPr>
        <sz val="20"/>
        <rFont val="Arial"/>
        <family val="2"/>
      </rPr>
      <t>.0015 - Ajuda de Custo para Moradia ou Auxílio-Moradia a Agentes Públicos</t>
    </r>
  </si>
  <si>
    <t>Ambiente Modernizado/ Recuperado</t>
  </si>
  <si>
    <t>MANUTENÇÃO DA COLEÇÃO ZOOLÓGICA</t>
  </si>
  <si>
    <t>MANUTENÇÃO DE BARCOS E MOTORES</t>
  </si>
  <si>
    <t>MANUTENÇÃO DE EQUIPAMENTOS DIDÁTICOS</t>
  </si>
  <si>
    <t>ASSISTÊNCIA PARA ALUNOS COM NECESSIDADES ESPECIAIS</t>
  </si>
  <si>
    <t>MANUTENÇÃO DA PROGEP</t>
  </si>
  <si>
    <t>AQUISIÇÃO DE MATERIAL PERMANENTE PARA A COORDENADORIA DE CAPACITAÇÃO E DESENVOLVIMENTO</t>
  </si>
  <si>
    <t>DESENVOLVIMENTO DO SERVIDOR</t>
  </si>
  <si>
    <t xml:space="preserve">MANUTENÇÃO DA AGÊNCIA </t>
  </si>
  <si>
    <t>PROMOÇÃO DA CULTURA EMPREENDEDORA</t>
  </si>
  <si>
    <t>AQUISIÇÃO DE EQUIPAMENTO</t>
  </si>
  <si>
    <t>PLANO DE GESTÃO ORÇAMENTÁRIA POR PLANO INTERNO  - EXERCÍCIO 2017 - Versão PPLOA</t>
  </si>
  <si>
    <t>MANUTENÇÃO PROAD</t>
  </si>
  <si>
    <t>AQUISIÇÃO DE MATERIAL E SERVIÇOS DE TECNOLOGIA DA INFORMAÇÃO - PROAD</t>
  </si>
  <si>
    <t>IDIOMAS SEM FRONTEIRAS</t>
  </si>
  <si>
    <t>CONVÊNIO COM A PRODEPA</t>
  </si>
  <si>
    <t>NDAE</t>
  </si>
  <si>
    <t>Núcleo de Desenvolvimento Amazônico em Engenharia - NDAE</t>
  </si>
  <si>
    <t>Programa UFPA: 25 - Matriz Hospitais Veterinários</t>
  </si>
  <si>
    <t>IMV</t>
  </si>
  <si>
    <t>REPRESENTAÇÃO DA ADMINISTRAÇÃO SUPERIOR E GESTORES DE UNIDADES REGIONAIS</t>
  </si>
  <si>
    <t>27</t>
  </si>
  <si>
    <t xml:space="preserve">PROEXT </t>
  </si>
  <si>
    <t>AQUISIÇÃO DE ACERVO</t>
  </si>
  <si>
    <t>AQUISIÇÃO DE LIVROS PARA BIBLIOTECA SETORIAL</t>
  </si>
  <si>
    <t>12.128.2109.216H.0015 - AJUDA DE CUSTO PARA MORADIA</t>
  </si>
  <si>
    <t>Ajuda de custo para moradia</t>
  </si>
  <si>
    <t>Programa UFPA: 36 - Ajuda de Custo para Moradia</t>
  </si>
  <si>
    <t>AJUDA DE CUSTO PARA MORADIA</t>
  </si>
  <si>
    <t>36</t>
  </si>
  <si>
    <t>PGO 2016</t>
  </si>
  <si>
    <t>8</t>
  </si>
  <si>
    <t>M18C1G1919N</t>
  </si>
  <si>
    <t>O18C1O1919N</t>
  </si>
  <si>
    <t>M18C2G1919N</t>
  </si>
  <si>
    <t>O18C2O1919N</t>
  </si>
  <si>
    <t>M18C3G9519N</t>
  </si>
  <si>
    <t>O18C3O9519N</t>
  </si>
  <si>
    <t>M2015G0119N</t>
  </si>
  <si>
    <t>AQUISIÇÃO DE MOBILIÁRIO - ADMINISTRAÇÃO SUPERIOR</t>
  </si>
  <si>
    <t>M18C4G0119N</t>
  </si>
  <si>
    <t>AQUISIÇÃO DE EQUIPAMENTOS DE TECNOLOGIA DA INFORMAÇÃO - ADMINISTRAÇÃO SUPERIOR</t>
  </si>
  <si>
    <t>M18C5G0119N</t>
  </si>
  <si>
    <t>M18C6G0119N</t>
  </si>
  <si>
    <t>M18C7G0119N</t>
  </si>
  <si>
    <t>M18C8G0119N</t>
  </si>
  <si>
    <t>M18D2G0119N</t>
  </si>
  <si>
    <t>M18D3G0119N</t>
  </si>
  <si>
    <t>O18D4O1905N</t>
  </si>
  <si>
    <t>O18D5O1905N</t>
  </si>
  <si>
    <t>O18D6O1905N</t>
  </si>
  <si>
    <t>O18D7O1905N</t>
  </si>
  <si>
    <t>M18D8G2104N</t>
  </si>
  <si>
    <t>M18D9G0119N</t>
  </si>
  <si>
    <t>M18E1G0119N</t>
  </si>
  <si>
    <t>M18E2G0119N</t>
  </si>
  <si>
    <t>M011EG0108N</t>
  </si>
  <si>
    <t>M011FG0108N</t>
  </si>
  <si>
    <t>M011IG0114N</t>
  </si>
  <si>
    <t>M011JG0101N</t>
  </si>
  <si>
    <t>M011KG0101N</t>
  </si>
  <si>
    <t>M011LG0101N</t>
  </si>
  <si>
    <t>M011YG0101N</t>
  </si>
  <si>
    <t>M011MG0101N</t>
  </si>
  <si>
    <t>M1949G2301N</t>
  </si>
  <si>
    <t>M1950G2301N</t>
  </si>
  <si>
    <t>M1951G2301N</t>
  </si>
  <si>
    <t>M1952G2301N</t>
  </si>
  <si>
    <t>M1345G0116N</t>
  </si>
  <si>
    <t>M0302G1905N</t>
  </si>
  <si>
    <t>M0303G1905N</t>
  </si>
  <si>
    <t>M0304G1905N</t>
  </si>
  <si>
    <t>M0305G1905N</t>
  </si>
  <si>
    <t>M0306G1905N</t>
  </si>
  <si>
    <t>Convênio Executado</t>
  </si>
  <si>
    <t>Contrato executado</t>
  </si>
  <si>
    <t>PROGRAMA UFPA: 32 - IDIOMAS SEM FRONTEIRAS</t>
  </si>
  <si>
    <t xml:space="preserve">Programa UFPA:  32 - Idiomas Sem Fronteiras </t>
  </si>
  <si>
    <t>DINFI</t>
  </si>
  <si>
    <t>Unidade Mantida</t>
  </si>
  <si>
    <t>IMPRESSÃO DE MATERIAL GRÁFICO</t>
  </si>
  <si>
    <t>CRIAÇÃO DE PORTIFÓLIO DA EXTENSÃO</t>
  </si>
  <si>
    <t>PROGRAMA DE FOMENTO À ATIVIDADES INTEGRADAS DE EXTENSÃO</t>
  </si>
  <si>
    <t>PROGRAMA DE ESPORTE CULTURA E LAZER</t>
  </si>
  <si>
    <t>Iniciativas Apoiadas</t>
  </si>
  <si>
    <t>Programas de Esporte, Cultura e Lazer instituidos</t>
  </si>
  <si>
    <t>M0822G2104N</t>
  </si>
  <si>
    <t>M0823G2104N</t>
  </si>
  <si>
    <t>M0824G2104N</t>
  </si>
  <si>
    <t>Progamas atendidos</t>
  </si>
  <si>
    <t>ACOMPANHAMENTO DA PÓS-GRADUAÇÃO</t>
  </si>
  <si>
    <t>O011PO1905N</t>
  </si>
  <si>
    <t>Projetos Atendidos</t>
  </si>
  <si>
    <t>O2310O2002N</t>
  </si>
  <si>
    <t>PROGRAMA QUALIGRAD</t>
  </si>
  <si>
    <t>M0296G1905N</t>
  </si>
  <si>
    <t>M18E4G1905N</t>
  </si>
  <si>
    <t>PROGRAMA UFPA: 27 - PROEXT</t>
  </si>
  <si>
    <r>
      <t>2080.</t>
    </r>
    <r>
      <rPr>
        <b/>
        <sz val="20"/>
        <rFont val="Arial"/>
        <family val="2"/>
      </rPr>
      <t>8282</t>
    </r>
    <r>
      <rPr>
        <sz val="20"/>
        <rFont val="Arial"/>
        <family val="2"/>
      </rPr>
      <t>.0015 - Reestruturação e Expasão das Universidades Federais -</t>
    </r>
    <r>
      <rPr>
        <b/>
        <sz val="20"/>
        <rFont val="Arial"/>
        <family val="2"/>
      </rPr>
      <t xml:space="preserve"> Emenda Nilson Pinto</t>
    </r>
  </si>
  <si>
    <r>
      <t>2080.</t>
    </r>
    <r>
      <rPr>
        <b/>
        <sz val="20"/>
        <rFont val="Arial"/>
        <family val="2"/>
      </rPr>
      <t>20GK</t>
    </r>
    <r>
      <rPr>
        <sz val="20"/>
        <rFont val="Arial"/>
        <family val="2"/>
      </rPr>
      <t xml:space="preserve">.0015 - Fomento às Ações de Ensino Pesquisa e Extensão </t>
    </r>
    <r>
      <rPr>
        <b/>
        <sz val="20"/>
        <rFont val="Arial"/>
        <family val="2"/>
      </rPr>
      <t>- Emenda Edmilson Rodrigues</t>
    </r>
  </si>
  <si>
    <t>1</t>
  </si>
  <si>
    <t xml:space="preserve"> Catálogo elaborado</t>
  </si>
  <si>
    <t>M019HG0101N</t>
  </si>
  <si>
    <t>PLANO DE LOGÍSTICA SUSTENTÁVEL</t>
  </si>
  <si>
    <t>0910.00PW.0015 - OPERAÇÕES ESPECIAIS: GESTÃO DA PARTICIPAÇÃO EM ORGANISMOS E ENTIDADES NACIONAIS E INTERNACIONAIS</t>
  </si>
  <si>
    <t>PROGRAMA UFPA: 36 - AJUDA DE CUSTO PARA MORADIA</t>
  </si>
  <si>
    <t>CONTRATO DE PRESTAÇÃO DE SERVIÇOS COM A INFRAERO</t>
  </si>
  <si>
    <t>Aquisição de acervo</t>
  </si>
  <si>
    <t>CONTRATO DE PRESTAÇÃO DE SERVIÇOS AUXILIARES AO RU</t>
  </si>
  <si>
    <t>Realocado R$ 400.000,00 referente a Ação que era atendida com recursos da 20RK - REUNI</t>
  </si>
  <si>
    <t>M1955G2301N</t>
  </si>
  <si>
    <t>M1956G2301N</t>
  </si>
  <si>
    <t>M1903G2301N</t>
  </si>
  <si>
    <t>DESPESAS DE FUNCIONAMENTO DO RESTAURANTE UNIVERSITÁRIO</t>
  </si>
  <si>
    <t xml:space="preserve">Unificada ação que recebia recursos da assistência R$ 120.000,00 e do REUNI R$ 120.000,00 </t>
  </si>
  <si>
    <t xml:space="preserve">Unificada ação que recebia recursos da assistência R$ 50.000,00 e do REUNI R$ 150.000,00 </t>
  </si>
  <si>
    <t>108290 / 108296</t>
  </si>
  <si>
    <t>087089</t>
  </si>
  <si>
    <t>108287 / 127977</t>
  </si>
  <si>
    <t>M011QG0101N</t>
  </si>
  <si>
    <t>M3517G0101N</t>
  </si>
  <si>
    <t>M3518G0119N</t>
  </si>
  <si>
    <t>M3521G0101N</t>
  </si>
  <si>
    <t>M3520G0101N</t>
  </si>
  <si>
    <t>M3519G0101N</t>
  </si>
  <si>
    <t>M3522G0119N</t>
  </si>
  <si>
    <t>M3523G0119N</t>
  </si>
  <si>
    <t>M3524G0119N</t>
  </si>
  <si>
    <t>M3525G0119N</t>
  </si>
  <si>
    <t>Emenda</t>
  </si>
  <si>
    <t>127976</t>
  </si>
  <si>
    <t>087083</t>
  </si>
  <si>
    <t>087084</t>
  </si>
  <si>
    <t>M1338G0116N</t>
  </si>
  <si>
    <t>CAPACITAÇÃO DE SERVIDORES DA PROPLAN</t>
  </si>
  <si>
    <t>SAEST</t>
  </si>
  <si>
    <t>SUPERINTENDÊNCIA DE ASSISTÊNCIA ESTUDANTIL (SAEST)</t>
  </si>
  <si>
    <t>M02N9G1905N</t>
  </si>
  <si>
    <t>SUPERINTENDÊNCIA DE ASSISTÊNCIA ESTUDANTIL (SAEST) -               UGR: 156010</t>
  </si>
  <si>
    <t>CONTRATO DE SERVIÇOS DE LIMPEZA, ASSEIO E CONSERVAÇÃO DAS ÁREAS INTERNAS E EXTERNAS</t>
  </si>
  <si>
    <t>CAPITAL - PRODOUTOR/PARC</t>
  </si>
  <si>
    <t>VIAGEM DE CAMPO DO CAMPUS DE CAMETÁ - EDUCAÇÃO DO CAMPO</t>
  </si>
  <si>
    <t>MANUTENÇÃO DOS ELEVADORES (ENVIADO P/ PREFEITURA)</t>
  </si>
  <si>
    <t xml:space="preserve">DESPESAS COM ENERGIA ELÉTRICA DA UFPA </t>
  </si>
  <si>
    <t>Processos Modernizados</t>
  </si>
  <si>
    <t>DIAGNÓSTICO DA SAÚDE E QUALIDADE DE VIDA</t>
  </si>
  <si>
    <t>MODERNIZAÇÃO DOS PROCESSOS DE GESTAO DE PESSOAL</t>
  </si>
  <si>
    <t>GESTÃO DA FORÇA DE TRABALHO</t>
  </si>
  <si>
    <t>MELHORIA DA GESTÃO DAS UNIDADES</t>
  </si>
  <si>
    <t>CONTRIBUIÇÕES A ORGANISMOS INTERNACIONAIS SEM EXIGÊNCIA DE PROGRAMAÇÃO ESPECIFICA</t>
  </si>
  <si>
    <t>40</t>
  </si>
  <si>
    <t>Programa UFPA: 40 - CONTRIBUIÇÕES A ORGANISMOS INTERNACIONAIS</t>
  </si>
  <si>
    <t>CONTRIBUIÇÕES A ORGANISMOS INTERNACIONAIS</t>
  </si>
  <si>
    <t>APOIO A ATIVIDADES ACADÊMICA</t>
  </si>
  <si>
    <t>APOIO EM LÍNGUAS ESTRANGEIRAS</t>
  </si>
  <si>
    <t>PROGRAMA ESTUDANTE SAUDÁVEL-PES</t>
  </si>
  <si>
    <t>PRÊMIO PROEX DE LITERATURA 2018</t>
  </si>
  <si>
    <t>PRÊMIO PROEX DE ARTE E CULTURA 2018</t>
  </si>
  <si>
    <t>BOLSA PERMANÊNCIA DE EXTENSÃO</t>
  </si>
  <si>
    <t>PROJETO DE INCLUSÃO CIDADÃ</t>
  </si>
  <si>
    <t>INCLUIR</t>
  </si>
  <si>
    <t>BOLSAS PROMISSAES</t>
  </si>
  <si>
    <t>AUXÍLIO PERMANÊNCIA KIT ACADÊMICO</t>
  </si>
  <si>
    <t>AUXÍLIO PERMANÊNCIA MORADIA INDÍGENAS, QUILOMBOLAS E POPULAÇÕES TRADICIONAIS</t>
  </si>
  <si>
    <t>AUXÍLIO PERMANÊNCIA CRECHE - UNICRECHE</t>
  </si>
  <si>
    <t>AUXÍLIO PERMANÊNCIA KIT ALUNO PCD</t>
  </si>
  <si>
    <t>AUXÍLIO PERMANÊNCIA MATERIAL DIDÁTICO PARA DISCENTES DE ODONTOLOGIA - INSTRUIR</t>
  </si>
  <si>
    <t>AUXÍLIO AOS DISCENTES PARA VIAGENS ACADÊMICAS - AVA</t>
  </si>
  <si>
    <t>M0153G0110N</t>
  </si>
  <si>
    <t>M0106G0110N</t>
  </si>
  <si>
    <t>M0109G0110N</t>
  </si>
  <si>
    <t>M0126G0118N</t>
  </si>
  <si>
    <t>M1301G0115N</t>
  </si>
  <si>
    <t>M1951G2317N</t>
  </si>
  <si>
    <t>M2001G0118N</t>
  </si>
  <si>
    <t>M2015G0118N</t>
  </si>
  <si>
    <t>M0146G0117N</t>
  </si>
  <si>
    <t>M0105G0117N</t>
  </si>
  <si>
    <t>M1302G0115N</t>
  </si>
  <si>
    <t>M1345G0115N</t>
  </si>
  <si>
    <t>M0201G1907N</t>
  </si>
  <si>
    <t>M0202G1907N</t>
  </si>
  <si>
    <t>M0204G1902E</t>
  </si>
  <si>
    <t>M0208G1906N</t>
  </si>
  <si>
    <t>M0209G1901N</t>
  </si>
  <si>
    <t>M0255G1906N</t>
  </si>
  <si>
    <t>M0294G1906N</t>
  </si>
  <si>
    <t>M0295G0113N</t>
  </si>
  <si>
    <t>M1338G0115N</t>
  </si>
  <si>
    <t>O017CO1915N</t>
  </si>
  <si>
    <t>N1001O9915N</t>
  </si>
  <si>
    <t>O1003O0106N</t>
  </si>
  <si>
    <t>O2305O2003N</t>
  </si>
  <si>
    <t>O2307O2003N</t>
  </si>
  <si>
    <t>M0808G2107N</t>
  </si>
  <si>
    <t>M0809G2107N</t>
  </si>
  <si>
    <t>M0810G2107N</t>
  </si>
  <si>
    <t>M0822G2107N</t>
  </si>
  <si>
    <t>M0823G2107N</t>
  </si>
  <si>
    <t>M0824G2107N</t>
  </si>
  <si>
    <t>M0168G0109N</t>
  </si>
  <si>
    <t>M1918G2302N</t>
  </si>
  <si>
    <t>M1925G2310N</t>
  </si>
  <si>
    <t>M0197G0103N</t>
  </si>
  <si>
    <t>M0198G0103N</t>
  </si>
  <si>
    <t>M0199G0103N</t>
  </si>
  <si>
    <t>M011AG0103N</t>
  </si>
  <si>
    <t>M012AG0110N</t>
  </si>
  <si>
    <t>M1323G0115N</t>
  </si>
  <si>
    <t>M0169G9506N</t>
  </si>
  <si>
    <t>M011BG0113N</t>
  </si>
  <si>
    <t>M015DG0117N</t>
  </si>
  <si>
    <t>MANUTENÇÃO PREVENTIVA E CORRETIVA DA REDE METROBEL</t>
  </si>
  <si>
    <t>M1309G0115N</t>
  </si>
  <si>
    <t>M2003G0118N</t>
  </si>
  <si>
    <t>M2004G0118N</t>
  </si>
  <si>
    <t>M2005G0118N</t>
  </si>
  <si>
    <t>M2012G0118N</t>
  </si>
  <si>
    <t>M016DG0113N</t>
  </si>
  <si>
    <t>M0211G0113N</t>
  </si>
  <si>
    <t>M0212G0113N</t>
  </si>
  <si>
    <t>M1310G0115N</t>
  </si>
  <si>
    <t>M0172G0103N</t>
  </si>
  <si>
    <t>M0173G0103N</t>
  </si>
  <si>
    <t>M0401G1917N</t>
  </si>
  <si>
    <t>B1702F1918N</t>
  </si>
  <si>
    <t>B1701F1902N</t>
  </si>
  <si>
    <t>M2007G1918N</t>
  </si>
  <si>
    <t>M1339G0115N</t>
  </si>
  <si>
    <t>O0401O1917N</t>
  </si>
  <si>
    <t>O2007O1918N</t>
  </si>
  <si>
    <t>PROJETO MULTICOM</t>
  </si>
  <si>
    <t>AÇÕES ESTRATÉGICAS DA PROPLAN</t>
  </si>
  <si>
    <t>GESTÃO DO PLANO DE DESENVOLVIMENTO DA UFPA - 2016-2025</t>
  </si>
  <si>
    <t>PLANO DE GESTÃO ORÇAMENTÁRIA POR PLANO INTERNO  - EXERCÍCIO 2018 - Versão LOA</t>
  </si>
  <si>
    <t>M0111G0113N</t>
  </si>
  <si>
    <t>M3518G0118N</t>
  </si>
  <si>
    <t>M3517G0118N</t>
  </si>
  <si>
    <t>M0133G0116N</t>
  </si>
  <si>
    <t>M0112G0116N</t>
  </si>
  <si>
    <t>M1303G0115N</t>
  </si>
  <si>
    <t>M1906G2301N</t>
  </si>
  <si>
    <t>M1909G2301N</t>
  </si>
  <si>
    <t>M1912G2301N</t>
  </si>
  <si>
    <t>M1923G2301N</t>
  </si>
  <si>
    <t>M1927G2301N</t>
  </si>
  <si>
    <t>M1402G2201N</t>
  </si>
  <si>
    <r>
      <t>09.272.0089.</t>
    </r>
    <r>
      <rPr>
        <b/>
        <sz val="20"/>
        <rFont val="Arial"/>
        <family val="2"/>
      </rPr>
      <t>0181</t>
    </r>
    <r>
      <rPr>
        <sz val="20"/>
        <rFont val="Arial"/>
        <family val="2"/>
      </rPr>
      <t xml:space="preserve">.0015 - Pagamento de Aposentadorias e Pensões - Servidores Civis - PO: 0000 </t>
    </r>
  </si>
  <si>
    <r>
      <t>28.846.0901.</t>
    </r>
    <r>
      <rPr>
        <b/>
        <sz val="20"/>
        <color indexed="8"/>
        <rFont val="Arial"/>
        <family val="2"/>
      </rPr>
      <t>0005</t>
    </r>
    <r>
      <rPr>
        <sz val="20"/>
        <color indexed="8"/>
        <rFont val="Arial"/>
        <family val="2"/>
      </rPr>
      <t>.0015 - Cumprimento de Sentança Judicial Transitada em Julgado (Precatórios) - Pessoal</t>
    </r>
  </si>
  <si>
    <r>
      <t>28.846.0901.</t>
    </r>
    <r>
      <rPr>
        <b/>
        <sz val="20"/>
        <color indexed="8"/>
        <rFont val="Arial"/>
        <family val="2"/>
      </rPr>
      <t>0005</t>
    </r>
    <r>
      <rPr>
        <sz val="20"/>
        <color indexed="8"/>
        <rFont val="Arial"/>
        <family val="2"/>
      </rPr>
      <t>.0015 - Cumprimento de Sentança Judicial Transitada em Julgado (Precatórios) - Custeio</t>
    </r>
  </si>
  <si>
    <r>
      <t>2032.</t>
    </r>
    <r>
      <rPr>
        <b/>
        <sz val="20"/>
        <rFont val="Arial"/>
        <family val="2"/>
      </rPr>
      <t>00OQ</t>
    </r>
    <r>
      <rPr>
        <sz val="20"/>
        <rFont val="Arial"/>
        <family val="2"/>
      </rPr>
      <t>.0002 - Contribuições a Organismos Internacionais sem exigência de programação especifica - No exterior</t>
    </r>
  </si>
  <si>
    <r>
      <t>0910.</t>
    </r>
    <r>
      <rPr>
        <b/>
        <sz val="20"/>
        <rFont val="Arial"/>
        <family val="2"/>
      </rPr>
      <t>00PW</t>
    </r>
    <r>
      <rPr>
        <sz val="20"/>
        <rFont val="Arial"/>
        <family val="2"/>
      </rPr>
      <t>.0001 - Contribuições a Entidades Nacionais sem Exigência de Programação Específica - Nacional</t>
    </r>
  </si>
  <si>
    <t>Agente Público Beneficiado</t>
  </si>
  <si>
    <r>
      <t>12.301.2109.</t>
    </r>
    <r>
      <rPr>
        <b/>
        <sz val="20"/>
        <rFont val="Arial"/>
        <family val="2"/>
      </rPr>
      <t>2004</t>
    </r>
    <r>
      <rPr>
        <sz val="20"/>
        <rFont val="Arial"/>
        <family val="2"/>
      </rPr>
      <t>.0015 - Assistência Médica e Odontólogica aos Servidores Civis, Empregados, Militares e seus Dependentes</t>
    </r>
  </si>
  <si>
    <t>PLANO DE GESTÃO ORÇAMENTÁRIA POR PLANO INTERNO  - EXERCÍCIO 2018 - Versão PPLOA</t>
  </si>
  <si>
    <t xml:space="preserve">PLANO DE GESTÃO ORÇAMENTÁRIA POR PLANO INTERNO  - EXERCÍCIO 2018 - Versão LOA </t>
  </si>
  <si>
    <t>PLANO DE GESTÃO ORÇAMENTÁRIA POR PLANO INTERNO  - EXERCÍCIO 2018 - Versão PLOA</t>
  </si>
  <si>
    <t>DEMONSTRATIVO SINTÉTICO DO PLANO DE GESTÃO ORÇAMENTÁRIA (PGO) POR PROGRAMA UFPA -  EXERCÍCIO 2018 - Versão PLOA</t>
  </si>
  <si>
    <t>DEMONSTRATIVO SINTÉTICO DO PLANO DE GESTÃO ORÇAMENTÁRIA (PGO) POR PROGRAMA UFPA -  EXERCÍCIO 2018 - Versão LOA</t>
  </si>
  <si>
    <t>PLANO INTERNO 2018 (PI/SIAFI)</t>
  </si>
  <si>
    <t>DEMONSTRATIVO SINTÉTICO DO PLANO DE GESTÃO ORÇAMENTÁRIA (PGO) POR PROGRAMA UFPA -  EXERCÍCIO 2018 - Versão PPLOA</t>
  </si>
  <si>
    <t>LOA 2018</t>
  </si>
  <si>
    <t>Dif. Entre PGO e LOA 2018</t>
  </si>
  <si>
    <t>DIFERENÇA PLOA 2018 E PGO 2016</t>
  </si>
  <si>
    <t>PPLOA 2018</t>
  </si>
  <si>
    <t>DIF. PGO X PPLOA 2018</t>
  </si>
  <si>
    <t>1 - Efetuado CDO Nº 53/2017 com certificação de disponibilidade orçamentária para atender ao Projeto Inclusão Cidadã de Estudantes de Graduação da UFPA em atenção socioeconômica – Fase IV através do proc. Nº 022631/2017-88 para o PI - M1911G2301N - Apoio ao discente de graduação: ano 2017 - R$ 700.000,00; 2018 - R$ 1.243.012,00 e 2019 R$ 2.095.560,66</t>
  </si>
  <si>
    <t>PROJETO DE INTEGRAÇÃO ESTUDANTIL: ACESSO IGUALITÁRIO À FORMAÇÃO ACADÊMICA</t>
  </si>
  <si>
    <t>2- Efetuado CDO Nº 63/2017 com certificação de disponibilidade orçamentária para atender ao ProjetoIntegração Estudantil: igualitário à formação integral acadêmica cultural – Fase III através do proc. Nº 026001/2017-82 para o PI - M1955G2301N-Projeto de Integração Estudantil: Acesso Igualitário à Formação Acadêmica - 2017: R$ 276.000,00; 2018: R$ 1.000.000,00 e 2019: R$ 1.500.000,00</t>
  </si>
  <si>
    <t>M1335G0115N</t>
  </si>
  <si>
    <t>Recurso comprometido com CDO 71/2017 conf. Proc.020190/2017-80</t>
  </si>
  <si>
    <t>AQUISIÇÃO DE EQUIPAMENTOS PARA AS UNIDADES ACADÊMICAS</t>
  </si>
  <si>
    <t>Aquisição de Equipamento</t>
  </si>
  <si>
    <t>DESPESAS COM ENERGIA ELÉTRICA DA ESCOLA DE APLICAÇÃO</t>
  </si>
  <si>
    <t>AQUISIÇÃO DE EQUIPAMENTOS ETDUFPA</t>
  </si>
  <si>
    <t>AQUISIÇÃO DE EQUIPAMENTOS EMUFPA</t>
  </si>
  <si>
    <t>DESPESAS COM ENERGIA ELÉTRICA (ETDUFPA / EMUFPA)</t>
  </si>
  <si>
    <t>AQUISIÇÃO DE ACERVO BIBLIOGRÁFICO</t>
  </si>
  <si>
    <t>AQUISIÇÃO DE EQUIPAMENTOS HOSPITAL VETERINÁRIO</t>
  </si>
  <si>
    <t>UGR:155724</t>
  </si>
  <si>
    <t>Instituto Amazônico de Agriculturas Familiares - INEAF</t>
  </si>
  <si>
    <t>INEAF</t>
  </si>
  <si>
    <t>UGR: 155725</t>
  </si>
  <si>
    <t>UGR: 150049</t>
  </si>
  <si>
    <t>NITA (AEDI)</t>
  </si>
  <si>
    <t>Núcleo de Estudos Transdisciplinares em Educação Básica - NEB</t>
  </si>
  <si>
    <t>NEB</t>
  </si>
  <si>
    <r>
      <t>MAIS MÉDICOS -FASE I - ALTAMIRA</t>
    </r>
    <r>
      <rPr>
        <sz val="24"/>
        <rFont val="Arial"/>
        <family val="2"/>
      </rPr>
      <t>¹</t>
    </r>
  </si>
  <si>
    <t>M2401G0108N</t>
  </si>
  <si>
    <t>M2402G0108N</t>
  </si>
  <si>
    <t>M0135G0114N</t>
  </si>
  <si>
    <t>M012BG0117N</t>
  </si>
  <si>
    <t>DESPESAS COM ENERGIA ELÉTRICA DO HOSPITAL VETERINÁRIO</t>
  </si>
  <si>
    <t>M0132G0115N</t>
  </si>
  <si>
    <t>M1305G0115N</t>
  </si>
  <si>
    <t xml:space="preserve">QUALIFICAÇÃO DO SERVIDOR </t>
  </si>
  <si>
    <t>CAPACITAÇÃO DE SERVIDORES - DIGEST</t>
  </si>
  <si>
    <t>DIGEST</t>
  </si>
  <si>
    <t>O2302O2001N</t>
  </si>
  <si>
    <r>
      <t>RECURSO PARA GABINETE - PROEG</t>
    </r>
    <r>
      <rPr>
        <vertAlign val="superscript"/>
        <sz val="16"/>
        <rFont val="Arial"/>
        <family val="2"/>
      </rPr>
      <t>2</t>
    </r>
  </si>
  <si>
    <t>FUNCIONAMENTO DA EDUCAÇÃO À DISTÂNCIA</t>
  </si>
  <si>
    <t>M0127G0110N</t>
  </si>
  <si>
    <t>M0113G0117N</t>
  </si>
  <si>
    <t>M0117G0117N</t>
  </si>
  <si>
    <t>M0183G1906N</t>
  </si>
  <si>
    <t>M0185G0115N</t>
  </si>
  <si>
    <t>M011YG0117N</t>
  </si>
  <si>
    <t>M0150G0117N</t>
  </si>
  <si>
    <t>L1507P1917N</t>
  </si>
  <si>
    <t>B1705F1917N</t>
  </si>
  <si>
    <t>M2502G1917N</t>
  </si>
  <si>
    <t>M011IG0117N</t>
  </si>
  <si>
    <t>M0296G1906N</t>
  </si>
  <si>
    <t>M015CG0113N</t>
  </si>
  <si>
    <t>M1304G0115N</t>
  </si>
  <si>
    <t>M3601G0115N</t>
  </si>
  <si>
    <t>O0196O2008N</t>
  </si>
  <si>
    <t>PRODOUTOR (PARD E PARC)</t>
  </si>
  <si>
    <t>O2301O2006N</t>
  </si>
  <si>
    <t>O2304O2001N</t>
  </si>
  <si>
    <t>O2308O2001N</t>
  </si>
  <si>
    <t>O1004O0109N</t>
  </si>
  <si>
    <t>M3201G1909N</t>
  </si>
  <si>
    <t>M0156G0113N</t>
  </si>
  <si>
    <t>M0175G0103N</t>
  </si>
  <si>
    <t>M0110G0117N</t>
  </si>
  <si>
    <t>M0122G0114N</t>
  </si>
  <si>
    <t>M0129G0113N</t>
  </si>
  <si>
    <t>M011JG0113N</t>
  </si>
  <si>
    <t>M0203G0101N</t>
  </si>
  <si>
    <t>M0205G1901N</t>
  </si>
  <si>
    <t>M0206G1901N</t>
  </si>
  <si>
    <t>M0207G0102N</t>
  </si>
  <si>
    <t>MELHORIA DE PROCESSOS INTERNOS</t>
  </si>
  <si>
    <t>AMPLIAÇÃO DA CAPTAÇÃO DE RECURSOS</t>
  </si>
  <si>
    <t>M0108G0113N</t>
  </si>
  <si>
    <t>M013CG0104N</t>
  </si>
  <si>
    <t>M014CG0111N</t>
  </si>
  <si>
    <t>M016CG0119N</t>
  </si>
  <si>
    <t>M019CG0116N</t>
  </si>
  <si>
    <t>O1095O2003N</t>
  </si>
  <si>
    <t>O2306O2006N</t>
  </si>
  <si>
    <t>O2310O2007N</t>
  </si>
  <si>
    <t>O0193O2003N</t>
  </si>
  <si>
    <t>O1002O1903N</t>
  </si>
  <si>
    <t>O1006O1901N</t>
  </si>
  <si>
    <t>M0167G0107N</t>
  </si>
  <si>
    <t>M0801G2107N</t>
  </si>
  <si>
    <t>M0802G2107N</t>
  </si>
  <si>
    <t>M0803G2105N</t>
  </si>
  <si>
    <t>M0805G2107N</t>
  </si>
  <si>
    <t>M0807G2107N</t>
  </si>
  <si>
    <t>M1920G2307N</t>
  </si>
  <si>
    <t>M1922G2307N</t>
  </si>
  <si>
    <t>M1915G2307N</t>
  </si>
  <si>
    <t>M1955G2306N</t>
  </si>
  <si>
    <t>M1919G2317N</t>
  </si>
  <si>
    <t>M011EG0117N</t>
  </si>
  <si>
    <t>M011FG0101N</t>
  </si>
  <si>
    <t>M1924G2307N</t>
  </si>
  <si>
    <t>M1926G2307N</t>
  </si>
  <si>
    <t>M014AG0110N</t>
  </si>
  <si>
    <t>M0119G0118N</t>
  </si>
  <si>
    <t>M0210G0117N</t>
  </si>
  <si>
    <t>M0213G0110N</t>
  </si>
  <si>
    <t>M3504G0117N</t>
  </si>
  <si>
    <t>PRODUÇÃO DA EDIÇÃO BILÍNGUE DA COLEÇÃO DIÁLOGOS DE PLATÃO</t>
  </si>
  <si>
    <t>M0171G0110N</t>
  </si>
  <si>
    <t>M0174G0110N</t>
  </si>
  <si>
    <t>M02A1G1902N</t>
  </si>
  <si>
    <t>M0301G1901N</t>
  </si>
  <si>
    <t>L1501P1901N</t>
  </si>
  <si>
    <t>L1502P1901N</t>
  </si>
  <si>
    <t>L1503P1901N</t>
  </si>
  <si>
    <t>L1504P1901N</t>
  </si>
  <si>
    <t>M0306G1917N</t>
  </si>
  <si>
    <t>M0302G1917N</t>
  </si>
  <si>
    <t>M0304G1917N</t>
  </si>
  <si>
    <t>M0303G1901N</t>
  </si>
  <si>
    <t>M2501G1901N</t>
  </si>
  <si>
    <t>M1401G2202N</t>
  </si>
  <si>
    <t>M0155G0120N</t>
  </si>
  <si>
    <t>M4001G9908N</t>
  </si>
  <si>
    <t>M0402G1917N</t>
  </si>
  <si>
    <t>AQUISIÇÃO DE EQUIPAMENTOS DE TIC PARA AS UNIDADES ACADÊMICAS</t>
  </si>
  <si>
    <t>M2016G0118N</t>
  </si>
  <si>
    <t>M02N9G1902N</t>
  </si>
  <si>
    <t>M02A7G1902N</t>
  </si>
  <si>
    <t>M0256G9502N</t>
  </si>
  <si>
    <t>M0403G1917N</t>
  </si>
  <si>
    <t>M0404G1917N</t>
  </si>
  <si>
    <t>M0305G1901N</t>
  </si>
  <si>
    <t>O0402O1917N</t>
  </si>
  <si>
    <t>O2016O1918N</t>
  </si>
  <si>
    <t>O0301O1901N</t>
  </si>
  <si>
    <t>M0405G1917N</t>
  </si>
  <si>
    <t>O0256O9502N</t>
  </si>
  <si>
    <t>M0307G1901N</t>
  </si>
  <si>
    <t>M02A2G1902N</t>
  </si>
  <si>
    <t>M02A3G1902N</t>
  </si>
  <si>
    <t>M02A4G1902N</t>
  </si>
  <si>
    <t>M02A5G1902N</t>
  </si>
  <si>
    <t>M02A6G1902N</t>
  </si>
  <si>
    <t>M02F6G1902N</t>
  </si>
  <si>
    <t>M3427G2301N</t>
  </si>
  <si>
    <t>M3428G2301N</t>
  </si>
  <si>
    <t>M3429G2301N</t>
  </si>
  <si>
    <t>M3430G2301N</t>
  </si>
  <si>
    <t>M3431G2301N</t>
  </si>
  <si>
    <t>M3432G2301N</t>
  </si>
  <si>
    <t>M3433G2301N</t>
  </si>
  <si>
    <t>Demandas Atendidas</t>
  </si>
  <si>
    <t>Servidor capacitado</t>
  </si>
  <si>
    <t>M3434G2301N</t>
  </si>
  <si>
    <r>
      <t>2080.</t>
    </r>
    <r>
      <rPr>
        <b/>
        <sz val="22"/>
        <rFont val="Bookman Old Style"/>
        <family val="1"/>
      </rPr>
      <t>20RI</t>
    </r>
    <r>
      <rPr>
        <sz val="22"/>
        <rFont val="Bookman Old Style"/>
        <family val="1"/>
      </rPr>
      <t xml:space="preserve">.0015 - Funcionamento das Instituições Federais de Educação Básica </t>
    </r>
  </si>
  <si>
    <r>
      <t xml:space="preserve">12.368.2080.20RI.0015 - FUNCIONAMENTO DAS INSTITUIÇÕES FEDERAIS DE EDUCAÇÃO BÁSICA </t>
    </r>
    <r>
      <rPr>
        <b/>
        <sz val="24"/>
        <color indexed="8"/>
        <rFont val="Bookman Old Style"/>
        <family val="1"/>
      </rPr>
      <t>-</t>
    </r>
    <r>
      <rPr>
        <b/>
        <sz val="24"/>
        <color indexed="10"/>
        <rFont val="Bookman Old Style"/>
        <family val="1"/>
      </rPr>
      <t xml:space="preserve"> </t>
    </r>
    <r>
      <rPr>
        <b/>
        <sz val="24"/>
        <color indexed="8"/>
        <rFont val="Bookman Old Style"/>
        <family val="1"/>
      </rPr>
      <t xml:space="preserve">Matriz CONDICAp </t>
    </r>
  </si>
  <si>
    <t>Contribuições a Organismos Internacionais sem Exigência de Programação Especifica</t>
  </si>
  <si>
    <t>VIAGEM DE CAMPO - MEDICINA</t>
  </si>
  <si>
    <t>AQUISIÇÃO DE ACERVO BIBLIOGRÁFICO - ICSA</t>
  </si>
  <si>
    <t>AQUISIÇÃO DE ACERVO BIBLIOGRÁFICO - IEMCI</t>
  </si>
  <si>
    <t>AQUISIÇÃO DE ACERVO BIBLIOGRÁFICO - IECOS</t>
  </si>
  <si>
    <t>AQUISIÇÃO DE ACERVO BIBLIOGRÁFICO - NDAE</t>
  </si>
  <si>
    <t>AQUISIÇÃO DE ACERVO BIBLIOGRÁFICO - NUMA</t>
  </si>
  <si>
    <t>VIAGEM DE CAMPO PARA O CURSO DE EDUCAÇÃO DO CAMPO - ABAETETUBA</t>
  </si>
  <si>
    <t>VIAGEM DE CAMPO DO CURSO DE EDUCAÇÃO DO CAMPO - ALTAMIRA</t>
  </si>
  <si>
    <t>AQUISIÇÃO DE ACERVO BIBLIOGRÁFICO - BRAGANÇA</t>
  </si>
  <si>
    <t>AQUISIÇÃO DE ACERVO BIBLIOGRÁFICO - BREVES</t>
  </si>
  <si>
    <t>AQUISIÇÃO DE ACERVO BIBLIOGRÁFICO - CASTANHAL</t>
  </si>
  <si>
    <t>Pessoa Beneficiada</t>
  </si>
  <si>
    <t>Nota: O valor previsto para capital não pode ser atendido, mas foi recomposto em custeio.</t>
  </si>
  <si>
    <t>Estudante participante</t>
  </si>
  <si>
    <t>Bolsas Concedidas</t>
  </si>
  <si>
    <t>AÇÕES ESTRATÉGICAS - AÇÃO 8282</t>
  </si>
  <si>
    <t>AÇÕES ESTRATÉGICAS - AÇÃO 20GK</t>
  </si>
  <si>
    <r>
      <t>2080.</t>
    </r>
    <r>
      <rPr>
        <b/>
        <sz val="20"/>
        <rFont val="Arial"/>
        <family val="2"/>
      </rPr>
      <t>20GK</t>
    </r>
    <r>
      <rPr>
        <sz val="20"/>
        <rFont val="Arial"/>
        <family val="2"/>
      </rPr>
      <t xml:space="preserve">.0015 - Fomento às Ações de Ensino Pesquisa e Extensão </t>
    </r>
    <r>
      <rPr>
        <b/>
        <sz val="20"/>
        <rFont val="Arial"/>
        <family val="2"/>
      </rPr>
      <t>- Emenda Paulo Rocha</t>
    </r>
  </si>
  <si>
    <r>
      <t>2080.</t>
    </r>
    <r>
      <rPr>
        <b/>
        <sz val="20"/>
        <rFont val="Arial"/>
        <family val="2"/>
      </rPr>
      <t>8282</t>
    </r>
    <r>
      <rPr>
        <sz val="20"/>
        <rFont val="Arial"/>
        <family val="2"/>
      </rPr>
      <t>.0015 - Reestruturação e Expasão das Universidades Federais -</t>
    </r>
    <r>
      <rPr>
        <b/>
        <sz val="20"/>
        <rFont val="Arial"/>
        <family val="2"/>
      </rPr>
      <t xml:space="preserve"> Emenda Simone Morgado</t>
    </r>
  </si>
  <si>
    <r>
      <t>2080.</t>
    </r>
    <r>
      <rPr>
        <b/>
        <sz val="20"/>
        <rFont val="Arial"/>
        <family val="2"/>
      </rPr>
      <t>20RK</t>
    </r>
    <r>
      <rPr>
        <sz val="20"/>
        <rFont val="Arial"/>
        <family val="2"/>
      </rPr>
      <t xml:space="preserve">.7140 - Funcionamento das Universidades Federais </t>
    </r>
    <r>
      <rPr>
        <b/>
        <sz val="20"/>
        <rFont val="Arial"/>
        <family val="2"/>
      </rPr>
      <t>- PO:  Emenda Zé Geraldo</t>
    </r>
  </si>
  <si>
    <r>
      <t>2080.</t>
    </r>
    <r>
      <rPr>
        <b/>
        <sz val="20"/>
        <rFont val="Arial"/>
        <family val="2"/>
      </rPr>
      <t>8282</t>
    </r>
    <r>
      <rPr>
        <sz val="20"/>
        <rFont val="Arial"/>
        <family val="2"/>
      </rPr>
      <t>.7271 - Reestruturação e Expasão das Universidades Federais -</t>
    </r>
    <r>
      <rPr>
        <b/>
        <sz val="20"/>
        <rFont val="Arial"/>
        <family val="2"/>
      </rPr>
      <t xml:space="preserve"> Emenda Zé Geraldo</t>
    </r>
  </si>
  <si>
    <r>
      <t>2080.</t>
    </r>
    <r>
      <rPr>
        <b/>
        <sz val="20"/>
        <rFont val="Arial"/>
        <family val="2"/>
      </rPr>
      <t>20GK</t>
    </r>
    <r>
      <rPr>
        <sz val="20"/>
        <rFont val="Arial"/>
        <family val="2"/>
      </rPr>
      <t xml:space="preserve">.0015 - Fomento às Ações de Ensino Pesquisa e Extensão </t>
    </r>
    <r>
      <rPr>
        <b/>
        <sz val="20"/>
        <rFont val="Arial"/>
        <family val="2"/>
      </rPr>
      <t>- PO: 0000 / PO: 0002</t>
    </r>
  </si>
  <si>
    <t>108287 / 128153</t>
  </si>
  <si>
    <r>
      <t>2080.</t>
    </r>
    <r>
      <rPr>
        <b/>
        <sz val="20"/>
        <rFont val="Arial"/>
        <family val="2"/>
      </rPr>
      <t>20RK</t>
    </r>
    <r>
      <rPr>
        <sz val="20"/>
        <rFont val="Arial"/>
        <family val="2"/>
      </rPr>
      <t>.0015 - Funcionamento das Universidades Federais -</t>
    </r>
    <r>
      <rPr>
        <b/>
        <sz val="20"/>
        <rFont val="Arial"/>
        <family val="2"/>
      </rPr>
      <t xml:space="preserve"> PO: 0000 / PO: 0002</t>
    </r>
  </si>
  <si>
    <t>108288 / 138154</t>
  </si>
  <si>
    <r>
      <t>2080.</t>
    </r>
    <r>
      <rPr>
        <b/>
        <sz val="20"/>
        <rFont val="Arial"/>
        <family val="2"/>
      </rPr>
      <t>2994</t>
    </r>
    <r>
      <rPr>
        <sz val="20"/>
        <rFont val="Arial"/>
        <family val="2"/>
      </rPr>
      <t>.0015 - Assistência ao Educando da Educação Profissional</t>
    </r>
    <r>
      <rPr>
        <b/>
        <sz val="20"/>
        <rFont val="Arial"/>
        <family val="2"/>
      </rPr>
      <t xml:space="preserve"> </t>
    </r>
    <r>
      <rPr>
        <sz val="20"/>
        <rFont val="Arial"/>
        <family val="2"/>
      </rPr>
      <t>e Tecnológica</t>
    </r>
    <r>
      <rPr>
        <b/>
        <sz val="20"/>
        <rFont val="Arial"/>
        <family val="2"/>
      </rPr>
      <t xml:space="preserve"> - PO: 0000 / PO: 0001</t>
    </r>
  </si>
  <si>
    <t>138150 / 108293</t>
  </si>
  <si>
    <t>L3101P2301N</t>
  </si>
  <si>
    <t>Programa UFPA: 31 - Assistência aos Estudantes das IFEPT</t>
  </si>
  <si>
    <t>ASSISTÊNCIA ESTUDANTIL IFEPT</t>
  </si>
  <si>
    <t>138150</t>
  </si>
  <si>
    <r>
      <t>2080.</t>
    </r>
    <r>
      <rPr>
        <b/>
        <sz val="20"/>
        <rFont val="Arial"/>
        <family val="2"/>
      </rPr>
      <t>4002</t>
    </r>
    <r>
      <rPr>
        <sz val="20"/>
        <rFont val="Arial"/>
        <family val="2"/>
      </rPr>
      <t xml:space="preserve">.0015 - Assistência ao Estudante de Ensino Superior </t>
    </r>
    <r>
      <rPr>
        <b/>
        <sz val="20"/>
        <rFont val="Arial"/>
        <family val="2"/>
      </rPr>
      <t>- PO: 0000 / PO: 0003</t>
    </r>
  </si>
  <si>
    <t>108289 / 108298</t>
  </si>
  <si>
    <r>
      <t>2080.</t>
    </r>
    <r>
      <rPr>
        <b/>
        <sz val="20"/>
        <rFont val="Arial"/>
        <family val="2"/>
      </rPr>
      <t>8282</t>
    </r>
    <r>
      <rPr>
        <sz val="20"/>
        <rFont val="Arial"/>
        <family val="2"/>
      </rPr>
      <t>.0015 - Reestruturação e Expasão das Universidades Federais -</t>
    </r>
    <r>
      <rPr>
        <b/>
        <sz val="20"/>
        <rFont val="Arial"/>
        <family val="2"/>
      </rPr>
      <t xml:space="preserve"> PO: 0000</t>
    </r>
    <r>
      <rPr>
        <sz val="10"/>
        <rFont val="Arial"/>
        <family val="2"/>
      </rPr>
      <t/>
    </r>
  </si>
  <si>
    <t>FONTES DE FINANCIAMENTO: 100 - RECURSOS DO TESOURO NACIONAL</t>
  </si>
  <si>
    <t>Assistência aos Estudantes das IFEPT</t>
  </si>
  <si>
    <t>ASSISTÊNCIA AOS ESTUDANTES DAS IFEPT</t>
  </si>
  <si>
    <t>12.364.2080.2994.0015 - ASSISTÊNCIA AO EDUCANDO DA EDUCAÇÃO PROFISSIONAL - PO: 0000 / PO: 0001</t>
  </si>
  <si>
    <t>12.364.2080.20GK.0015 - FOMENTO ÀS AÇÕES DE ENSINO PESQUISA E EXTENSÃO - PO: 0000 / PO: 0002</t>
  </si>
  <si>
    <t>12.364.2080.20RK.0015 - FUNCIONAMENTO DAS UNIVERSIDADES FEDERAIS - PO: 0000 / PO: 0002</t>
  </si>
  <si>
    <t>138152</t>
  </si>
  <si>
    <t>MANUTENÇÃO DO SIGAA</t>
  </si>
  <si>
    <t>138154</t>
  </si>
  <si>
    <t>087090</t>
  </si>
  <si>
    <r>
      <t>12.301.2109.</t>
    </r>
    <r>
      <rPr>
        <b/>
        <sz val="16"/>
        <rFont val="Arial"/>
        <family val="2"/>
      </rPr>
      <t>2004</t>
    </r>
    <r>
      <rPr>
        <sz val="16"/>
        <rFont val="Arial"/>
        <family val="2"/>
      </rPr>
      <t xml:space="preserve">.0015 - Assistência Médica e Odontólogica aos Servidores Civis, Empregados, Militares e seus Dependentes </t>
    </r>
    <r>
      <rPr>
        <b/>
        <sz val="16"/>
        <rFont val="Arial"/>
        <family val="2"/>
      </rPr>
      <t>- PO: 0001</t>
    </r>
    <r>
      <rPr>
        <sz val="16"/>
        <rFont val="Arial"/>
        <family val="2"/>
      </rPr>
      <t xml:space="preserve"> /</t>
    </r>
    <r>
      <rPr>
        <b/>
        <sz val="16"/>
        <rFont val="Arial"/>
        <family val="2"/>
      </rPr>
      <t xml:space="preserve"> PO: 0003</t>
    </r>
    <r>
      <rPr>
        <sz val="10"/>
        <rFont val="Arial"/>
        <family val="2"/>
      </rPr>
      <t/>
    </r>
  </si>
  <si>
    <r>
      <t>12.301.2109.</t>
    </r>
    <r>
      <rPr>
        <b/>
        <sz val="16"/>
        <rFont val="Arial"/>
        <family val="2"/>
      </rPr>
      <t>2004</t>
    </r>
    <r>
      <rPr>
        <sz val="16"/>
        <rFont val="Arial"/>
        <family val="2"/>
      </rPr>
      <t xml:space="preserve">.0015 - Assistência Médica e Odontólogica aos Servidores Civis, Empregados, Militares e seus Dependentes </t>
    </r>
    <r>
      <rPr>
        <b/>
        <sz val="16"/>
        <rFont val="Arial"/>
        <family val="2"/>
      </rPr>
      <t>- PO: 0001</t>
    </r>
    <r>
      <rPr>
        <sz val="16"/>
        <rFont val="Arial"/>
        <family val="2"/>
      </rPr>
      <t xml:space="preserve"> /</t>
    </r>
    <r>
      <rPr>
        <b/>
        <sz val="16"/>
        <rFont val="Arial"/>
        <family val="2"/>
      </rPr>
      <t xml:space="preserve"> PO: 0004</t>
    </r>
    <r>
      <rPr>
        <sz val="10"/>
        <rFont val="Arial"/>
        <family val="2"/>
      </rPr>
      <t/>
    </r>
  </si>
  <si>
    <r>
      <t>12.301.2109.</t>
    </r>
    <r>
      <rPr>
        <b/>
        <sz val="16"/>
        <rFont val="Arial"/>
        <family val="2"/>
      </rPr>
      <t>2004</t>
    </r>
    <r>
      <rPr>
        <sz val="16"/>
        <rFont val="Arial"/>
        <family val="2"/>
      </rPr>
      <t xml:space="preserve">.0015 - Assistência Médica e Odontólogica aos Servidores Civis, Empregados, Militares e seus Dependentes </t>
    </r>
    <r>
      <rPr>
        <b/>
        <sz val="16"/>
        <rFont val="Arial"/>
        <family val="2"/>
      </rPr>
      <t>- PO: 0001</t>
    </r>
    <r>
      <rPr>
        <sz val="16"/>
        <rFont val="Arial"/>
        <family val="2"/>
      </rPr>
      <t xml:space="preserve"> /</t>
    </r>
    <r>
      <rPr>
        <b/>
        <sz val="16"/>
        <rFont val="Arial"/>
        <family val="2"/>
      </rPr>
      <t xml:space="preserve"> PO: 0005</t>
    </r>
    <r>
      <rPr>
        <sz val="10"/>
        <rFont val="Arial"/>
        <family val="2"/>
      </rPr>
      <t/>
    </r>
  </si>
  <si>
    <r>
      <t>12.122.2109.</t>
    </r>
    <r>
      <rPr>
        <b/>
        <sz val="20"/>
        <rFont val="Arial"/>
        <family val="2"/>
      </rPr>
      <t>212B</t>
    </r>
    <r>
      <rPr>
        <sz val="20"/>
        <rFont val="Arial"/>
        <family val="2"/>
      </rPr>
      <t>.0001 - Benefícios Obrigatórios aos Servidores Civis, Empregados, Militares e seus Dependentes - PO: 0001 - Assistência Pré-Escolar aos Dependentes de Servidores Civis e de Empregados</t>
    </r>
  </si>
  <si>
    <t>138147</t>
  </si>
  <si>
    <r>
      <t>12.122.2109.</t>
    </r>
    <r>
      <rPr>
        <b/>
        <sz val="20"/>
        <rFont val="Arial"/>
        <family val="2"/>
      </rPr>
      <t>212B</t>
    </r>
    <r>
      <rPr>
        <sz val="20"/>
        <rFont val="Arial"/>
        <family val="2"/>
      </rPr>
      <t>.0001 - Benefícios Obrigatórios aos Servidores Civis, Empregados, Militares e seus Dependentes - PO: 0005 - Auxílio-Alimentação de Civis</t>
    </r>
  </si>
  <si>
    <r>
      <t>12.122.2109.</t>
    </r>
    <r>
      <rPr>
        <b/>
        <sz val="20"/>
        <rFont val="Arial"/>
        <family val="2"/>
      </rPr>
      <t>212B</t>
    </r>
    <r>
      <rPr>
        <sz val="20"/>
        <rFont val="Arial"/>
        <family val="2"/>
      </rPr>
      <t>.0001 - Benefícios Obrigatórios aos Servidores Civis, Empregados, Militares e seus Dependentes - PO: 0003 - Auxílio-Transporte de Civis</t>
    </r>
  </si>
  <si>
    <r>
      <t>12.122.2109.</t>
    </r>
    <r>
      <rPr>
        <b/>
        <sz val="20"/>
        <rFont val="Arial"/>
        <family val="2"/>
      </rPr>
      <t>212B</t>
    </r>
    <r>
      <rPr>
        <sz val="20"/>
        <rFont val="Arial"/>
        <family val="2"/>
      </rPr>
      <t>.0001 - Benefícios Obrigatórios aos Servidores Civis, Empregados, Militares e seus Dependentes - PO: 0009 - Auxílio-Funeral e Natalidade de Civis</t>
    </r>
  </si>
  <si>
    <t>138148</t>
  </si>
  <si>
    <t>138149</t>
  </si>
  <si>
    <t>PROGRAMA UFPA: 31 - ASSISTÊNCIA AOS ESTUDANTES DAS IFEPT</t>
  </si>
  <si>
    <r>
      <t>CAPITAL</t>
    </r>
    <r>
      <rPr>
        <b/>
        <vertAlign val="superscript"/>
        <sz val="24"/>
        <rFont val="Bookman Old Style"/>
        <family val="1"/>
      </rPr>
      <t>1</t>
    </r>
  </si>
  <si>
    <t>NOTA 1: Considerando as restrições impostas pelo Governo Federal em relação aos limites para a execução orçamentária da Universidade, houve redução de 68,10% de recursos de capital. Entretanto, a Administração Superior, empenhando-se em continuar investindo na atividade fim da instituição, disponibilizou inicialmente, para as Unidades Acadêmicas, 50% do recurso de capital alocado em suas propostas orçamentárias.</t>
  </si>
  <si>
    <t>M0137G0109N</t>
  </si>
  <si>
    <t>M02A8G1902N</t>
  </si>
  <si>
    <t>NOTA 3: Considerando as restrições impostas pelo Governo Federal em relação aos limites para a execução orçamentária da Universidade, houve redução de 68,10% de recursos de capital. Sendo assim, não puderam ser atendidos os recursos de capital das Unidades Administrativas.</t>
  </si>
  <si>
    <r>
      <t>PROGRAMA QUALIGRAD</t>
    </r>
    <r>
      <rPr>
        <vertAlign val="superscript"/>
        <sz val="16"/>
        <rFont val="Arial"/>
        <family val="2"/>
      </rPr>
      <t>1,2</t>
    </r>
  </si>
  <si>
    <t>NOTA 1: Foi acrescido o valor de R$ 1.000.001 em custeio para a recomposição do valor alocado em capital, autorizado pelo Reitor devido ao corte em Investimentos pelo MEC.</t>
  </si>
  <si>
    <t>NOTA 2: Foi acrescido o valor de R$ 220.000 em custeio para a recomposição do valor alocado em capital, autorizado pelo Reitor devido ao corte em Investimentos pelo MEC.</t>
  </si>
  <si>
    <t>NOTA 1: Considerando as restrições impostas pelo Governo Federal em relação aos limites para a execução orçamentária da Universidade, houve redução de 68,10% de recursos de capital. Sendo assim, não puderam ser atendidos os recursos de capital das Unidades Administrativas.</t>
  </si>
  <si>
    <t>NOTA 2: Considerando as restrições impostas pelo Governo Federal em relação aos limites para a execução orçamentária da Universidade, houve redução de 68,10% de recursos de capital. Sendo assim, não puderam ser atendidos os recursos de capital das Unidades Administrativas.</t>
  </si>
  <si>
    <t>NOTA 1: Autorizado o acréscimo de R$ 50.000,00 pela Pró-reitora para a implantação da diretoria de Gestão Estratégica.</t>
  </si>
  <si>
    <t>NOTA 1: Foi realocado o valor de R$ 206.364,00 do PI: M0189G0101N - custeio do Gabinete do Reitor para PI: M0137G0109N da PROINTER, devido a ausência da Ação PDU no exercício de 2018.</t>
  </si>
  <si>
    <t>NOTA 1 - Efetuado CDO Nº 53/2017 com certificação de disponibilidade orçamentária para atender ao Projeto Inclusão Cidadã de Estudantes de Graduação da UFPA em atenção socioeconômica – Fase IV através do proc. Nº 022631/2017-88 para o PI - M1911G2301N - Apoio ao discente de graduação: ano 2017 - R$ 700.000,00; 2018 - R$ 1.243.012,00 e 2019 R$ 2.095.560,66</t>
  </si>
  <si>
    <t>NOTA 2- Efetuado CDO Nº 63/2017 com certificação de disponibilidade orçamentária para atender ao ProjetoIntegração Estudantil: igualitário à formação integral acadêmica cultural – Fase III através do proc. Nº 026001/2017-82 para o PI - M1955G2301N-Projeto de Integração Estudantil: Acesso Igualitário à Formação Acadêmica - 2017: R$ 276.000,00; 2018: R$ 1.000.000,00 e 2019: R$ 1.500.000,00</t>
  </si>
  <si>
    <t>NOTA 3- Efetuado a diminuição de R$ 530.000,00 da Ação "BOLSA PERMANÊNCIA AUXÍLIO DIDATICO PEDAGÓGICO" (programa 34), e inclusão do mesmo valor na Ação "DESPESAS DE FUNCIONAMENTO DO RESTAURANTE UNIVERSITÁRIO" (programa 19), devido a redução desse valor nop PTRES 108298 e respectico aumento no PTRES 108289 após sanção da LOA 2018.</t>
  </si>
  <si>
    <t>NOTA 4 - Os recursos da Ação 4002 - Assistência ao Estudante de Ensino Superior foram apenas  disponibilizados em Custeio</t>
  </si>
  <si>
    <t>Projeto Executado</t>
  </si>
  <si>
    <t>UGR: 156153</t>
  </si>
  <si>
    <t>Projetos Executados</t>
  </si>
  <si>
    <t>Aquisição de Acervo</t>
  </si>
  <si>
    <t>NOTA 1: Recursos destinados a despesas com energia elétrica nos programas 15, 17 e 25, como compensação de alocação de capital do Funcionamento das Unidades Acadêmicas para a Escola de Aplicação, ETDUFPA/EMUFPA E Hospital Universitário.</t>
  </si>
  <si>
    <r>
      <t>NITAE</t>
    </r>
    <r>
      <rPr>
        <vertAlign val="superscript"/>
        <sz val="22"/>
        <rFont val="Bookman Old Style"/>
        <family val="1"/>
      </rPr>
      <t>2</t>
    </r>
  </si>
  <si>
    <t>M0145G0117N</t>
  </si>
  <si>
    <t>M0148G0117N</t>
  </si>
  <si>
    <t>M0149G0113N</t>
  </si>
  <si>
    <t>M0139G0113N</t>
  </si>
  <si>
    <t>M0141G0117N</t>
  </si>
  <si>
    <t>M0143G0117N</t>
  </si>
  <si>
    <t>M0144G0117N</t>
  </si>
  <si>
    <t>M0136G0117N</t>
  </si>
  <si>
    <t>M0152G0117N</t>
  </si>
  <si>
    <t>M0186G0113N</t>
  </si>
  <si>
    <t>M011QG0117N</t>
  </si>
  <si>
    <t>M017BG0113N</t>
  </si>
  <si>
    <t>M019HG0114N</t>
  </si>
  <si>
    <t>M016BG0117N</t>
  </si>
  <si>
    <t>M3526G0113N</t>
  </si>
  <si>
    <t>M3527G0117N</t>
  </si>
  <si>
    <t>Instituto de Medicina Veterinária -  IMV</t>
  </si>
  <si>
    <r>
      <t>Núcleo de Inovação e Tecnologias Aplicadas a Ensino e Extensão - NITAE</t>
    </r>
    <r>
      <rPr>
        <b/>
        <vertAlign val="superscript"/>
        <sz val="28"/>
        <rFont val="Berlin Sans FB Demi"/>
        <family val="2"/>
      </rPr>
      <t>2</t>
    </r>
  </si>
  <si>
    <r>
      <t>PROJETO NEWNTON</t>
    </r>
    <r>
      <rPr>
        <vertAlign val="superscript"/>
        <sz val="22"/>
        <rFont val="Bookman Old Style"/>
        <family val="1"/>
      </rPr>
      <t>1</t>
    </r>
  </si>
  <si>
    <t>NOTA 1: Conforme solicitação da Administração Superior em 13 de janeiro de 2018, a Ação "Projeto Newton", anteriormente vinculada a AEDI, foi deslocada para a Reitoria.</t>
  </si>
  <si>
    <t>NOTA 2: Conforme solicitação da Administração Superior em 13 de janeiro de 2018, a Ação "Projeto Newton", anteriormente vinculada a AEDI, foi deslocada para a Reitoria.</t>
  </si>
  <si>
    <t>ASSISTÊNCIA ESTUDANTIL IFEPT - ETDUFPA</t>
  </si>
  <si>
    <t>ASSISTÊNCIA ESTUDANTIL IFEPT - EMUFPA</t>
  </si>
  <si>
    <t>L3102P2301N</t>
  </si>
  <si>
    <t>0100</t>
  </si>
  <si>
    <t>Programa UFPA:  37 - Fomento às Ações de Ensino Pesquisa e Extensão</t>
  </si>
  <si>
    <t>37</t>
  </si>
  <si>
    <t>Fomento às Ações de Ensino Pesquisa e Extensão</t>
  </si>
  <si>
    <t>FOMENTO ÀS AÇÕES DE ENSINO PESQUISA E EXTENSÃOGESTÃO INSTITUCIONAL - REITORIA</t>
  </si>
  <si>
    <t>O3701G1901N</t>
  </si>
  <si>
    <t>PATC</t>
  </si>
  <si>
    <t>ETDUFPA</t>
  </si>
  <si>
    <t>EMUFPA</t>
  </si>
  <si>
    <r>
      <t>CAPITAL</t>
    </r>
    <r>
      <rPr>
        <b/>
        <vertAlign val="superscript"/>
        <sz val="24"/>
        <rFont val="Bookman Old Style"/>
        <family val="1"/>
      </rPr>
      <t>2</t>
    </r>
    <r>
      <rPr>
        <sz val="11"/>
        <color theme="1"/>
        <rFont val="Calibri"/>
        <family val="2"/>
        <scheme val="minor"/>
      </rPr>
      <t/>
    </r>
  </si>
  <si>
    <r>
      <t>CAPITAL</t>
    </r>
    <r>
      <rPr>
        <b/>
        <vertAlign val="superscript"/>
        <sz val="24"/>
        <rFont val="Bookman Old Style"/>
        <family val="1"/>
      </rPr>
      <t>3</t>
    </r>
    <r>
      <rPr>
        <sz val="11"/>
        <color theme="1"/>
        <rFont val="Calibri"/>
        <family val="2"/>
        <scheme val="minor"/>
      </rPr>
      <t/>
    </r>
  </si>
  <si>
    <r>
      <t>CAPITAL</t>
    </r>
    <r>
      <rPr>
        <b/>
        <vertAlign val="superscript"/>
        <sz val="24"/>
        <rFont val="Bookman Old Style"/>
        <family val="1"/>
      </rPr>
      <t>4</t>
    </r>
    <r>
      <rPr>
        <sz val="11"/>
        <color theme="1"/>
        <rFont val="Calibri"/>
        <family val="2"/>
        <scheme val="minor"/>
      </rPr>
      <t/>
    </r>
  </si>
  <si>
    <r>
      <t>CAPITAL</t>
    </r>
    <r>
      <rPr>
        <b/>
        <vertAlign val="superscript"/>
        <sz val="24"/>
        <rFont val="Bookman Old Style"/>
        <family val="1"/>
      </rPr>
      <t>5</t>
    </r>
    <r>
      <rPr>
        <sz val="11"/>
        <color theme="1"/>
        <rFont val="Calibri"/>
        <family val="2"/>
        <scheme val="minor"/>
      </rPr>
      <t/>
    </r>
  </si>
  <si>
    <t>CAPITAL (40%)</t>
  </si>
  <si>
    <t>PLANO DE GESTÃO ORÇAMENTÁRIA POR PLANO INTERNO  - EXERCÍCIO 2018 - LIBERAÇÃO DE CAPITAL - 40%</t>
  </si>
  <si>
    <t>PLANO DE GESTÃO ORÇAMENTÁRIA POR PLANO INTERNO  - EXERCÍCIO 2019</t>
  </si>
  <si>
    <t>Programa UFPA: 14 - EDUCAÇÃO À DISTÂNCIA</t>
  </si>
  <si>
    <t>RESERVA CAPACITAÇÃO REITORIA</t>
  </si>
  <si>
    <t>M0160G0101N</t>
  </si>
  <si>
    <t>CONTRATO PARA VIAGENS INTERNACIONAIS</t>
  </si>
  <si>
    <t>CAPACITAÇÃO DOS SERVIDORES DA PROEG</t>
  </si>
  <si>
    <t>DIRETORIA DE PLANEJAMENTO</t>
  </si>
  <si>
    <t>CAPACITAÇÃO DE SERVIDORES - DIPLAN</t>
  </si>
  <si>
    <t>CAPACITAÇÃO DE SERVIDORES - DINFI</t>
  </si>
  <si>
    <t>CAPACITAÇÃO DE SERVIDORES - DIAVI</t>
  </si>
  <si>
    <t>CAPACITAÇÃO DE SERVIDORES - PROPESP</t>
  </si>
  <si>
    <t>SEMANA INTEGRADA DE ENSINO, PESQUISA E EXTENSÃO UNIVERSITÁRIA</t>
  </si>
  <si>
    <t>CAPACITAÇÃO DE SERVIDORES - PROEX</t>
  </si>
  <si>
    <t>CAPACITAÇÃO DE SERVIDORES - PROINTER</t>
  </si>
  <si>
    <t>PROJETO DE ACESSIBILIDADE AOS DISCENTES PCD</t>
  </si>
  <si>
    <t>M0142G0106N</t>
  </si>
  <si>
    <t>FUNCIONAMENTO DA BIBLIOTECA</t>
  </si>
  <si>
    <t>RENOVAÇÃO ASSINATURA EBSCO</t>
  </si>
  <si>
    <t>MANUTENÇÃO PREVENTIVA E CORRETIVA DO SISTEMA ININTERRUPTO DE ENERGIA DO DATACENTER DA REDE METROBEL</t>
  </si>
  <si>
    <t>MANUTENÇÃO PREVENTIVA E CORRETIVA DO SISTEMA DE CLIMATIZAÇÃO DO DATACENTER DA REDE METROBEL</t>
  </si>
  <si>
    <t>HABILITAÇÃO DE CALOUROS E ORIENTAÇÃO NOS CAMPI</t>
  </si>
  <si>
    <t xml:space="preserve">12.364.2080.20RL.0015 - FUNCIONAMENTO DE INSTITUIÇÕES FEDERAIS DE EDUCAÇÃO PROFISSIONAL E TECNOLÓGICA - Matriz CONDETUF </t>
  </si>
  <si>
    <t>M0188G0109N</t>
  </si>
  <si>
    <t>MARCAS E PATENTES</t>
  </si>
  <si>
    <t>REITORIA</t>
  </si>
  <si>
    <t>ASCOM</t>
  </si>
  <si>
    <t>MUSEU - UGR: 150153</t>
  </si>
  <si>
    <t>AUDIN</t>
  </si>
  <si>
    <t>MUSEU</t>
  </si>
  <si>
    <t>REITORIA - UGR: 151824</t>
  </si>
  <si>
    <t>PROAD - UGR: 156001</t>
  </si>
  <si>
    <t>PREFEITURA - UGR: 153543</t>
  </si>
  <si>
    <t>PROGEP - UGR: 150032</t>
  </si>
  <si>
    <t>PROEG - UGR: 156006</t>
  </si>
  <si>
    <t>PROPLAN - UGR: 150155</t>
  </si>
  <si>
    <t>DIRETORIA DE GESTÃO ESTRATÉGICA</t>
  </si>
  <si>
    <t>PROPESP - UGR: 156003</t>
  </si>
  <si>
    <t>PROEX - UGR: 156007</t>
  </si>
  <si>
    <t>PROINTER - UGR: 150156</t>
  </si>
  <si>
    <t>SAEST - UGR: 156010</t>
  </si>
  <si>
    <t>AGÊNCIA DE INOVAÇÃO - UGR: 151908</t>
  </si>
  <si>
    <t>CTIC - UGR: 156002</t>
  </si>
  <si>
    <t>CIAC - UGR: 150219</t>
  </si>
  <si>
    <t>EDITORA - UGR: 156008</t>
  </si>
  <si>
    <t>UNIDADES ACADÊMICAS - ESPECIAIS</t>
  </si>
  <si>
    <t>UNIDADES ACADÊMICAS - INSTITUTOS</t>
  </si>
  <si>
    <t>UNIDADES ACADÊMICAS - NÚCLEOS</t>
  </si>
  <si>
    <t>UNIDADES ACADÊMICAS - CAMPI</t>
  </si>
  <si>
    <t>M0191G0113N</t>
  </si>
  <si>
    <t>M0192G0113N</t>
  </si>
  <si>
    <t>M0812G2107N</t>
  </si>
  <si>
    <t>CAPACITAÇÃO DE SERVIDORES - BIBLIOTECA CENTRAL</t>
  </si>
  <si>
    <t>M0151G0117N</t>
  </si>
  <si>
    <t>PLANO ORÇAMENTÁRIO</t>
  </si>
  <si>
    <t>EIND - Emenda Individual - Zé Geraldo (11420002)</t>
  </si>
  <si>
    <t>EIND - Emenda Individual - Jader Barbalho (22630009)</t>
  </si>
  <si>
    <t>OBJETIVO AÇÃO ORÇAMENTÁRIA</t>
  </si>
  <si>
    <t>EIND - Emenda Individual - José Priante (32600009)</t>
  </si>
  <si>
    <t>EIND - Emenda Individual - Nilson Pinto (34920003)</t>
  </si>
  <si>
    <t>EIND - Emenda Individual - Paulo Rocha (37960010)</t>
  </si>
  <si>
    <t>EIND - Emenda Individual - Júlia Marinho (36970010)</t>
  </si>
  <si>
    <t>EIND - Emenda Individual - Edmilson Rodrigues (30870013)</t>
  </si>
  <si>
    <t>EIND - Emenda Individual - Nilson Pinto (34920002)</t>
  </si>
  <si>
    <t>Manutenção das instituições da 
educação básica nas instituições federais de ensino, de modo a atender adequadamente as demandas e especificidades dos estudantes dessas instituições</t>
  </si>
  <si>
    <t>Gestão administrativa, financeira e técnica, e desenvolvimento de ações visando ao funcionamento dos cursos de Instituições 
Federais de Educação Profissional, Científica e Tecnológica e das Escolas Técnicas vinculadas às Universidades Federais</t>
  </si>
  <si>
    <t>Fornecimento de alimentação, atendimento médico-odontológico, alojamento e transporte, dentre outras iniciativas típicas de assistência estudantil</t>
  </si>
  <si>
    <t>Desenvolvimento de programas e projetos voltados a: pesquisa, tutoria e extensão na graduação e na pósgraduação; implementação de ações educativas e culturais; formação, aperfeiçoamento e pesquisa de interesse do Sistema 
Nacional de Pós-Graduação; bem como demais atividades inerentes às ações de pesquisa, tutoria e extensão.</t>
  </si>
  <si>
    <t>Apoio à gestão administrativa, financeira e técnica e ao desenvolvimento de ações para o funcionamento dos cursos de Educação Superior nas modalidades presencial e à distância; bem como demais atividades necessárias à gestão e administração da unidade.</t>
  </si>
  <si>
    <t>Apoio financeiro a ações de assistência estudantil que contribuam para a democratização do ensino superior, a partir da implementação de medidas voltadas à redução das desigualdades sociais e étnicos-raciais, à acessibilidade de portadores de deficiência, à melhoria do desempenho acadêmico e à ampliação das taxas de acesso e permanência na educação superior.</t>
  </si>
  <si>
    <t>Apoio à execução de planos de reestruturação nas Instituições Federais de Ensino Superior para a ampliação e melhoria da oferta de cursos e a redução da evasão, por meio da adequação e da modernização da estrutura física das instituições; da aquisição de materiais permanentes.</t>
  </si>
  <si>
    <t>8100</t>
  </si>
  <si>
    <t>8108</t>
  </si>
  <si>
    <t>8188</t>
  </si>
  <si>
    <t>continua</t>
  </si>
  <si>
    <t>continuação</t>
  </si>
  <si>
    <r>
      <t>0910.</t>
    </r>
    <r>
      <rPr>
        <b/>
        <sz val="28"/>
        <rFont val="Bookman Old Style"/>
        <family val="1"/>
      </rPr>
      <t>00PW</t>
    </r>
    <r>
      <rPr>
        <sz val="28"/>
        <rFont val="Bookman Old Style"/>
        <family val="1"/>
      </rPr>
      <t>.0001 - Contribuições a Entidades Nacionais sem Exigência de Programação Específica - Nacional</t>
    </r>
  </si>
  <si>
    <r>
      <t>2032.</t>
    </r>
    <r>
      <rPr>
        <b/>
        <sz val="28"/>
        <rFont val="Bookman Old Style"/>
        <family val="1"/>
      </rPr>
      <t>00OQ</t>
    </r>
    <r>
      <rPr>
        <sz val="28"/>
        <rFont val="Bookman Old Style"/>
        <family val="1"/>
      </rPr>
      <t>.0002 - Contribuições a Organismos Internacionais sem exigência de programação especifica - No exterior</t>
    </r>
  </si>
  <si>
    <t>Realização de ações diversas voltadas ao treinamento de servidores, bem como promover a qualificação e a requalificação de pessoal com vistas à melhoria continuada dos processos de trabalho, dos índices de satisfação pelos serviços prestados à sociedade e do crescimento profissional.</t>
  </si>
  <si>
    <t>Essa ação destina-se a agrupar todos os pagamentos de contribuições a entidades nacionais sem exigência de programação específica, ou seja, abaixo de R$ 1.000.000,00 (hum milhão de reais).</t>
  </si>
  <si>
    <t>Essa ação destina-se a agrupar todos os pagamentos de contribuições e anuidades a Organismos e Entidades internacionais abaixo de R$ 1.000.000,00 (hum milhão de reais).</t>
  </si>
  <si>
    <t>0000 - Funcionamento das Instituições Federais de Educação Básica</t>
  </si>
  <si>
    <t>0000 - Funcionamento de Instituições Federais de Educação Profissional e Tecnológica</t>
  </si>
  <si>
    <t>0000 - Assistência aos Estudantes das Instituições Federais de Educação Profissional e Tecnológica - Despesas Diversas</t>
  </si>
  <si>
    <t>0001 - Auxílio Financeiro de Assistência Estudantil</t>
  </si>
  <si>
    <t>0000 - Fomento às Ações de Graduação, Pós-Graduação, Ensino, Pesquisa e Extensão - Despesas Diversas</t>
  </si>
  <si>
    <t>Bolsa Concedida</t>
  </si>
  <si>
    <t>Beneficio concedido</t>
  </si>
  <si>
    <r>
      <t>12.128.2109.</t>
    </r>
    <r>
      <rPr>
        <b/>
        <sz val="28"/>
        <rFont val="Bookman Old Style"/>
        <family val="1"/>
      </rPr>
      <t>4572</t>
    </r>
    <r>
      <rPr>
        <sz val="28"/>
        <rFont val="Bookman Old Style"/>
        <family val="1"/>
      </rPr>
      <t>.0015 - Capacitação de Servidores Públicos Federais em Processo de Qualificação e Requalificação</t>
    </r>
    <r>
      <rPr>
        <sz val="10"/>
        <rFont val="Arial"/>
        <family val="2"/>
      </rPr>
      <t/>
    </r>
  </si>
  <si>
    <t>0001 - Contribuição à Associação das Universidades de Língua Portuguesa - AULP</t>
  </si>
  <si>
    <t>0000 - Funcionamento de Instituições Federais de Ensino Superior - Despesas Diversas</t>
  </si>
  <si>
    <t>0002 - Funcionamento dos Hospitais Veterinário</t>
  </si>
  <si>
    <t>0002 - INCLUIR</t>
  </si>
  <si>
    <t>0000 - Assistência ao Estudante de Ensino Superior - Despesas Diversas</t>
  </si>
  <si>
    <t>0003 - Auxílio Financeiro de Assistência Estudantil</t>
  </si>
  <si>
    <t>0000 - Reestruturação e Expansão de Instituições Federais de Ensino Superior - Despesas Diversas</t>
  </si>
  <si>
    <t>0000 - Capacitação de Servidores Públicos Federais em Processo de Qualificação e Requalificação</t>
  </si>
  <si>
    <t>0000 - Contribuições a Entidades Nacionais sem Exigência de Programação Específica - Despesas Diversas</t>
  </si>
  <si>
    <r>
      <t>28.846.0901.</t>
    </r>
    <r>
      <rPr>
        <b/>
        <sz val="28"/>
        <color indexed="8"/>
        <rFont val="Bookman Old Style"/>
        <family val="1"/>
      </rPr>
      <t>0005</t>
    </r>
    <r>
      <rPr>
        <sz val="28"/>
        <color indexed="8"/>
        <rFont val="Bookman Old Style"/>
        <family val="1"/>
      </rPr>
      <t>.0015 - Cumprimento de Sentança Judicial Transitada em Julgado (Precatórios) - Pessoal</t>
    </r>
  </si>
  <si>
    <r>
      <t>28.846.0901.</t>
    </r>
    <r>
      <rPr>
        <b/>
        <sz val="28"/>
        <color indexed="8"/>
        <rFont val="Bookman Old Style"/>
        <family val="1"/>
      </rPr>
      <t>0005</t>
    </r>
    <r>
      <rPr>
        <sz val="28"/>
        <color indexed="8"/>
        <rFont val="Bookman Old Style"/>
        <family val="1"/>
      </rPr>
      <t>.0015 - Cumprimento de Sentança Judicial Transitada em Julgado (Precatórios) - Custeio</t>
    </r>
  </si>
  <si>
    <t>Pagamento da contribuição da União, de suas Autarquias e Fundações para o custeio do regime de previdência dos servidores públicos federais na forma do artigo 8º da Lei nº 10.887, de 18 de junho de 2004.</t>
  </si>
  <si>
    <t>Pagamento de espécies remuneratórias devidas aos servidores e empregados ativos civis da União.</t>
  </si>
  <si>
    <t>Pagamento de proventos oriundos de direito previdenciário próprio dos servidores públicos civis da União ou dos seus pensionistas.</t>
  </si>
  <si>
    <r>
      <t>12.122.2109.</t>
    </r>
    <r>
      <rPr>
        <b/>
        <sz val="28"/>
        <rFont val="Bookman Old Style"/>
        <family val="1"/>
      </rPr>
      <t>09HB</t>
    </r>
    <r>
      <rPr>
        <sz val="28"/>
        <rFont val="Bookman Old Style"/>
        <family val="1"/>
      </rPr>
      <t>.0001 - Contribuição da União, de suas Autarquias e Fundações para o Custeio do Regime de Previdência dos Servidores Públicos Federais</t>
    </r>
  </si>
  <si>
    <r>
      <t>12.364.2109.</t>
    </r>
    <r>
      <rPr>
        <b/>
        <sz val="28"/>
        <rFont val="Bookman Old Style"/>
        <family val="1"/>
      </rPr>
      <t>20TP</t>
    </r>
    <r>
      <rPr>
        <sz val="28"/>
        <rFont val="Bookman Old Style"/>
        <family val="1"/>
      </rPr>
      <t>.0001 - Pagamento de Pessoal Ativo da União</t>
    </r>
    <r>
      <rPr>
        <sz val="10"/>
        <rFont val="Arial"/>
        <family val="2"/>
      </rPr>
      <t/>
    </r>
  </si>
  <si>
    <r>
      <t>09.272.0089.</t>
    </r>
    <r>
      <rPr>
        <b/>
        <sz val="28"/>
        <rFont val="Bookman Old Style"/>
        <family val="1"/>
      </rPr>
      <t>0181</t>
    </r>
    <r>
      <rPr>
        <sz val="28"/>
        <rFont val="Bookman Old Style"/>
        <family val="1"/>
      </rPr>
      <t>.0015 - Pagamento de Aposentadorias e Pensões - Servidores Civis</t>
    </r>
  </si>
  <si>
    <t>Pagamento de Sentenças Judiciais Transitadas em Julgado (Precatórios) devidas pela União, Autarquias e Fundações Públicas.</t>
  </si>
  <si>
    <t>0000 - Aposentadorias e Pensões Civis da União</t>
  </si>
  <si>
    <t>0001 - Precatórios</t>
  </si>
  <si>
    <t>0000 - Contribuição da União, de suas Autarquias e Fundações para o Custeio do Regime de Previdência dos Servidores Públicos Federais.</t>
  </si>
  <si>
    <t>0000 - Ativos Civis da União</t>
  </si>
  <si>
    <r>
      <t>12.301.2109.</t>
    </r>
    <r>
      <rPr>
        <b/>
        <sz val="28"/>
        <rFont val="Bookman Old Style"/>
        <family val="1"/>
      </rPr>
      <t>2004</t>
    </r>
    <r>
      <rPr>
        <sz val="28"/>
        <rFont val="Bookman Old Style"/>
        <family val="1"/>
      </rPr>
      <t>.0015 - Assistência Médica e Odontólogica aos Servidores Civis, Empregados, Militares e seus Dependentes</t>
    </r>
  </si>
  <si>
    <r>
      <t>12.331.2109.</t>
    </r>
    <r>
      <rPr>
        <b/>
        <sz val="28"/>
        <rFont val="Bookman Old Style"/>
        <family val="1"/>
      </rPr>
      <t>216H</t>
    </r>
    <r>
      <rPr>
        <sz val="28"/>
        <rFont val="Bookman Old Style"/>
        <family val="1"/>
      </rPr>
      <t>.0015 - Ajuda de Custo para Moradia ou Auxílio-Moradia a Agentes Públicos</t>
    </r>
  </si>
  <si>
    <r>
      <t>12.122.2109.</t>
    </r>
    <r>
      <rPr>
        <b/>
        <sz val="28"/>
        <rFont val="Bookman Old Style"/>
        <family val="1"/>
      </rPr>
      <t>212B</t>
    </r>
    <r>
      <rPr>
        <sz val="28"/>
        <rFont val="Bookman Old Style"/>
        <family val="1"/>
      </rPr>
      <t>.0001 - Benefícios Obrigatórios aos Servidores Civis, Empregados, Militares e seus Dependentes</t>
    </r>
  </si>
  <si>
    <t>0001 - Assistência Pré-Escolar aos Dependentes de Servidores Civis e de Empregados</t>
  </si>
  <si>
    <t>0003 - Auxílio-Transporte de Civis</t>
  </si>
  <si>
    <t>0005 - Auxílio-Alimentação de Civis</t>
  </si>
  <si>
    <t>0009 - Auxílio-Funeral e Natalidade de Civis</t>
  </si>
  <si>
    <t>Concessão dos seguintes benefícios: Auxílio-Alimentação, Auxílio-Transporte, Assistência Pré-Escolar, Auxílio-Funeral, Auxílio Natalidade, Auxílio-Fardamento aos Militares da Ativa e Indenização de Representação no Exterior.</t>
  </si>
  <si>
    <t>Concessão, em caráter suplementar, do benefício de assistência médico-hospitalar e odontológica aos servidores, militares e 
empregados, ativos e inativos, dependentes e pensionistas, exclusive pessoal contratado por tempo determinado</t>
  </si>
  <si>
    <t>0001 - Assistência Médica e Odontológica de Civis - Complementação da União</t>
  </si>
  <si>
    <t>Ajuda de custo para moradia ou auxílio-moradia a agentes públicos. Não inclui outras indenizações, tais como ajuda de custo decorrente de remoção e diárias.</t>
  </si>
  <si>
    <t>0000 - Ajuda de Custo para Moradia ou Auxílio-Moradia a Agentes Públicos</t>
  </si>
  <si>
    <r>
      <t>2080.</t>
    </r>
    <r>
      <rPr>
        <b/>
        <sz val="28"/>
        <rFont val="Bookman Old Style"/>
        <family val="1"/>
      </rPr>
      <t>20RK</t>
    </r>
    <r>
      <rPr>
        <sz val="28"/>
        <rFont val="Bookman Old Style"/>
        <family val="1"/>
      </rPr>
      <t>.0015 - Funcionamento das Universidades Federais</t>
    </r>
  </si>
  <si>
    <r>
      <t>2080.</t>
    </r>
    <r>
      <rPr>
        <b/>
        <sz val="28"/>
        <rFont val="Bookman Old Style"/>
        <family val="1"/>
      </rPr>
      <t>20RI</t>
    </r>
    <r>
      <rPr>
        <sz val="28"/>
        <rFont val="Bookman Old Style"/>
        <family val="1"/>
      </rPr>
      <t xml:space="preserve">.0015 - Funcionamento das Instituições Federais de Educação Básica </t>
    </r>
  </si>
  <si>
    <r>
      <t>2080.</t>
    </r>
    <r>
      <rPr>
        <b/>
        <sz val="28"/>
        <rFont val="Bookman Old Style"/>
        <family val="1"/>
      </rPr>
      <t>20RL</t>
    </r>
    <r>
      <rPr>
        <sz val="28"/>
        <rFont val="Bookman Old Style"/>
        <family val="1"/>
      </rPr>
      <t>.0015 - Funcionamento de Instituições Federais de Educação Profissional e Tecnológica - Matriz CONDETUF</t>
    </r>
    <r>
      <rPr>
        <sz val="10"/>
        <rFont val="Arial"/>
        <family val="2"/>
      </rPr>
      <t/>
    </r>
  </si>
  <si>
    <r>
      <t>2080.</t>
    </r>
    <r>
      <rPr>
        <b/>
        <sz val="28"/>
        <rFont val="Bookman Old Style"/>
        <family val="1"/>
      </rPr>
      <t>2994</t>
    </r>
    <r>
      <rPr>
        <sz val="28"/>
        <rFont val="Bookman Old Style"/>
        <family val="1"/>
      </rPr>
      <t>.0015 - Assistência ao Educando da Educação Profissional</t>
    </r>
    <r>
      <rPr>
        <b/>
        <sz val="28"/>
        <rFont val="Bookman Old Style"/>
        <family val="1"/>
      </rPr>
      <t xml:space="preserve"> </t>
    </r>
    <r>
      <rPr>
        <sz val="28"/>
        <rFont val="Bookman Old Style"/>
        <family val="1"/>
      </rPr>
      <t>e Tecnológica</t>
    </r>
  </si>
  <si>
    <r>
      <t>2080.</t>
    </r>
    <r>
      <rPr>
        <b/>
        <sz val="28"/>
        <rFont val="Bookman Old Style"/>
        <family val="1"/>
      </rPr>
      <t>20GK</t>
    </r>
    <r>
      <rPr>
        <sz val="28"/>
        <rFont val="Bookman Old Style"/>
        <family val="1"/>
      </rPr>
      <t>.0015 - Fomento às Ações de Ensino Pesquisa e Extensão</t>
    </r>
  </si>
  <si>
    <r>
      <t>2080.</t>
    </r>
    <r>
      <rPr>
        <b/>
        <sz val="28"/>
        <rFont val="Bookman Old Style"/>
        <family val="1"/>
      </rPr>
      <t>4002</t>
    </r>
    <r>
      <rPr>
        <sz val="28"/>
        <rFont val="Bookman Old Style"/>
        <family val="1"/>
      </rPr>
      <t>.0015 - Assistência ao Estudante de Ensino Superior</t>
    </r>
  </si>
  <si>
    <r>
      <t>2080.</t>
    </r>
    <r>
      <rPr>
        <b/>
        <sz val="28"/>
        <rFont val="Bookman Old Style"/>
        <family val="1"/>
      </rPr>
      <t>8282</t>
    </r>
    <r>
      <rPr>
        <sz val="28"/>
        <rFont val="Bookman Old Style"/>
        <family val="1"/>
      </rPr>
      <t>.0015 - Reestruturação e Expasão das Universidades Federais</t>
    </r>
  </si>
  <si>
    <t>M0813G2107N</t>
  </si>
  <si>
    <t>M1958G2301N</t>
  </si>
  <si>
    <t>PROJETO NEWNTON</t>
  </si>
  <si>
    <t>0156</t>
  </si>
  <si>
    <t>0169</t>
  </si>
  <si>
    <t>EIND - Emenda Individual - Arnaldo jordy (26780019)</t>
  </si>
  <si>
    <t>VALOR</t>
  </si>
  <si>
    <t>Unidades Acadêmicas</t>
  </si>
  <si>
    <t>Fomento ao Ensino, Pesquisa e Extensão</t>
  </si>
  <si>
    <t>Assistência ao Estudante de Ensino Superior</t>
  </si>
  <si>
    <t>Gestão Administrativa</t>
  </si>
  <si>
    <t>Capacitação de Servidores Públicos</t>
  </si>
  <si>
    <t>Investimento em Expansão</t>
  </si>
  <si>
    <t>Educação Profissional e Tecnológica</t>
  </si>
  <si>
    <t>Educação básica</t>
  </si>
  <si>
    <t>Gestão de Contratos</t>
  </si>
  <si>
    <t>INICIATIVA ESTRATÉGICA</t>
  </si>
  <si>
    <r>
      <t>GESTÃO INSTITUCIONAL</t>
    </r>
    <r>
      <rPr>
        <b/>
        <sz val="28"/>
        <rFont val="Arial"/>
        <family val="2"/>
      </rPr>
      <t xml:space="preserve"> </t>
    </r>
  </si>
  <si>
    <r>
      <t xml:space="preserve">12.368.2080.20RI.0015 - FUNCIONAMENTO DAS INSTITUIÇÕES FEDERAIS DE EDUCAÇÃO BÁSICA </t>
    </r>
    <r>
      <rPr>
        <b/>
        <sz val="28"/>
        <color indexed="8"/>
        <rFont val="Bookman Old Style"/>
        <family val="1"/>
      </rPr>
      <t>-</t>
    </r>
    <r>
      <rPr>
        <b/>
        <sz val="28"/>
        <color indexed="10"/>
        <rFont val="Bookman Old Style"/>
        <family val="1"/>
      </rPr>
      <t xml:space="preserve"> </t>
    </r>
    <r>
      <rPr>
        <b/>
        <sz val="28"/>
        <color indexed="8"/>
        <rFont val="Bookman Old Style"/>
        <family val="1"/>
      </rPr>
      <t xml:space="preserve">Matriz CONDICAp </t>
    </r>
  </si>
  <si>
    <t>NOTA 1: Considerando as restrições impostas pelo Governo Federal em relação aos limites para a execução orçamentária desde 2014 e seus impactos na manutenção da instituição, bem como o cenário econômico projetado para o exercício de 2019, foi definido que o recurso de capital das Unidades Acadêmicas será disponibilizado durante o exercício, a partir do momento da descentralização do recurso reservado na ação orçamentária 219V - Apoio ao Funcionamento das Instituições Federais de Educação Superior, que consta no Ministério da Educação.</t>
  </si>
  <si>
    <t>Projetos Institucionais</t>
  </si>
  <si>
    <t>Idiomas Sem Fronteiras (PO 0000 - Fomento às ações de Graduação, Pós-Graduação, Ensino, Pesquisa e Extensão - Despesas diversas)</t>
  </si>
  <si>
    <t>M0147G0113N</t>
  </si>
  <si>
    <t>M3744G1901N</t>
  </si>
  <si>
    <t>PLANO DE GESTÃO ORÇAMENTÁRIA POR PLANO INTERNO  - EXERCÍCIO 2020</t>
  </si>
  <si>
    <t>LOA 2020</t>
  </si>
  <si>
    <t>REPRESENTAÇÃO INSTITUCIONAL</t>
  </si>
  <si>
    <t xml:space="preserve">Programa UFPA: 24 - CONTRIBUIÇÕES E ANUIDADES </t>
  </si>
  <si>
    <t>COLETA DE RESÍDUOS DE SERVIÇOS DE SAÚDE</t>
  </si>
  <si>
    <t>MANUTENÇÃO DO SISTEMA DE TELEFONIA</t>
  </si>
  <si>
    <t xml:space="preserve">SERVIÇOS TERCEIRIZADOS DE TRANSPORTES </t>
  </si>
  <si>
    <t>MANUTENÇÃO DE EQUIPAMENTOS DE REFRIGERAÇÃO</t>
  </si>
  <si>
    <t>MANUTENÇÃO ELÉTRICA</t>
  </si>
  <si>
    <t>MANUTENÇÃO HIDRÁULICA</t>
  </si>
  <si>
    <t>SERVIÇOS DE MANUTENÇÃO PREDIAL</t>
  </si>
  <si>
    <t>SERVIÇOS TERCEIRIZADOS DE VIGILÂNCIA</t>
  </si>
  <si>
    <t>MONITORAMENTO E SISTEMAS DE ALARME</t>
  </si>
  <si>
    <t>SERVIÇOS TERCEIRIZADOS DE PORTARIA</t>
  </si>
  <si>
    <t>GERENCIAMENTO DE FROTA</t>
  </si>
  <si>
    <t xml:space="preserve">SERVIÇOS DE LIMPEZA, ASSEIO E CONSERVAÇÃO DAS ÁREAS </t>
  </si>
  <si>
    <t xml:space="preserve">SERVIÇOS COM A EMPRESA BRASILEIRA DE CORREIOS </t>
  </si>
  <si>
    <t>FORNECIMENTO DE ÁGUA CANALIZADA - COSANPA</t>
  </si>
  <si>
    <t>SOCIEDADE PARANAENSE DE CULTURA - SISTEMA PERGAMUM</t>
  </si>
  <si>
    <t>GESTÃO DE OUVIDORIAS</t>
  </si>
  <si>
    <t>CONSULTORIA DE ENGENHARIA E  DE APOIO TÉCNICO A FISCALIZAÇÃO DE OBRAS</t>
  </si>
  <si>
    <t>CAPACITAÇÃO DE SERVIDORES DO ICB</t>
  </si>
  <si>
    <t>GESTÃO DA TECNOLOGIA DA INFORMAÇÃO DO ICB</t>
  </si>
  <si>
    <t>VIAGEM DE CAMPO (FACULDADE DE CIÊNCIAS BIOLÓGICAS)</t>
  </si>
  <si>
    <t>AQUISIÇÃO DE MATERIAL DE CONSUMO PARA AS AULAS PRÁTICAS</t>
  </si>
  <si>
    <t>Instituto de Ciências Biológicas - ICB (UGR: 153184)</t>
  </si>
  <si>
    <t>FONTE SOF</t>
  </si>
  <si>
    <t xml:space="preserve">Aulas de campo para vivência do conhecimento </t>
  </si>
  <si>
    <t>Atividades acadêmicas</t>
  </si>
  <si>
    <t>Manter em funcionameto as atividades Acadêmicas da unidade</t>
  </si>
  <si>
    <t>Aulas práticas para a graduação</t>
  </si>
  <si>
    <t>Aulas Práticas dos Alunos de Graduação</t>
  </si>
  <si>
    <t>INICIATIVA TÁTICA - PDU</t>
  </si>
  <si>
    <t xml:space="preserve">RECUPERAÇÃO DA INFRA-ESTRUTURA </t>
  </si>
  <si>
    <t>Ambientes recuperados</t>
  </si>
  <si>
    <t>Manutenção de toda infra-estrutura dos 8 prédios da unidade</t>
  </si>
  <si>
    <t>Pontos lógicos recuperados e adicionados</t>
  </si>
  <si>
    <t xml:space="preserve">Capacitação de Servidores Técnicos </t>
  </si>
  <si>
    <t>Manutenção em equipamentos de TI</t>
  </si>
  <si>
    <t>VIAGEM DE CAMPO (FACULDADE DE MEDICINA)</t>
  </si>
  <si>
    <t>AQUISIÇÃO DE MATERIAL DE CONSUMO DAS SUBUNIDADES ADMINISTRATIVAS E ACADÊMICAS</t>
  </si>
  <si>
    <t>Instituto de Ciências da Saúde - ICS (UGR: 153187)</t>
  </si>
  <si>
    <t>MANUTENÇÃO EM EQUIPAMENTOS DOS LABORATÓRIOS  DAS FACULDADES VINCULADAS AO ICS</t>
  </si>
  <si>
    <t>MANUTENÇÃO DE EQUIPAMENTOS DE REFRIGERAÇÃO DO ICS</t>
  </si>
  <si>
    <t>Equipamentos inspecionados</t>
  </si>
  <si>
    <t>Itens de material comprados</t>
  </si>
  <si>
    <t xml:space="preserve"> Plano de Manutenção preventiva e corretiva</t>
  </si>
  <si>
    <t>Através do plano anual de contratação/Agenda de compras -UFPA</t>
  </si>
  <si>
    <t xml:space="preserve"> Plano de manutenção preventiva e corretiva</t>
  </si>
  <si>
    <t>MANUTENÇÃO DO BLOCO DE SALAS DE AULAS DAS FACULDADES DE MEDICINA, FARMÁCIA, ODONTOLOGIA , NUTRIÇÃO, ENFERMAGEM</t>
  </si>
  <si>
    <t>Salas de aulas atendidas</t>
  </si>
  <si>
    <t>Manutenção das atividades das Subunidades Acadêmicas</t>
  </si>
  <si>
    <t>Programa UFPA: 07 - Manutenção das Atividades nas Unidades Acadêmicas e Regionais</t>
  </si>
  <si>
    <t>Instituto de Ciências Exatas e Naturais - ICEN (UGR: 153181)</t>
  </si>
  <si>
    <t>GESTÃO DA TECNOLOGIA DA INFORMAÇÃO DO ICEN</t>
  </si>
  <si>
    <t>NÃO INFORMADO</t>
  </si>
  <si>
    <t>VIAGEM PARA ENSINO, PESQUISA, EXTENSÃO E REPRESENTAÇÃO</t>
  </si>
  <si>
    <t>AQUISIÇÃO DE MATERIAL DE CONSUMO</t>
  </si>
  <si>
    <t>RECUPERAÇÃO DE MOBILIÁRIO</t>
  </si>
  <si>
    <t>MANUTENÇÃO CORRETIVA E PREVENTIVA NOS EQUIPAMENTOS DE REFRIGERAÇÃO</t>
  </si>
  <si>
    <t>MANUTENÇÃO E MODERNIZAÇÃO DA INFRAESTRUTURA PREDIAL</t>
  </si>
  <si>
    <t>Docentes Atendidos</t>
  </si>
  <si>
    <t>Subunidades Atendidas</t>
  </si>
  <si>
    <t>Móveis recuperados</t>
  </si>
  <si>
    <t>Equipamentos Revisados</t>
  </si>
  <si>
    <t>CAPACITAÇÃO DE SERVIDORES DO ICJ</t>
  </si>
  <si>
    <t>AQUISIÇÃO DE MATERIAIS DE INFORMÁTICA</t>
  </si>
  <si>
    <t>MANUTENÇÃO DOS EQUIPAMENTOS DE TI</t>
  </si>
  <si>
    <t>Equipamento recuerados / instalados</t>
  </si>
  <si>
    <t>Estimular a produção cientifica e cooperação técnica interinstitucional</t>
  </si>
  <si>
    <t>Manter as atividades de ensino pesquisa e extensão</t>
  </si>
  <si>
    <t>Execução do plano de contratações</t>
  </si>
  <si>
    <t>Melhorar e readequar a infraestrutura das subunidades</t>
  </si>
  <si>
    <t>Melhorar a infraestrutura da rede telefônica e lógica nos prédios do ICJ</t>
  </si>
  <si>
    <t>Instituto de Ciências Juridicas - ICJ (UGR: 153183)</t>
  </si>
  <si>
    <t>Instituto de Ciências da Educação - ICED (UGR: 153190)</t>
  </si>
  <si>
    <t>FUNCIONAMENTO DAS ATIVIDADES DO ICB</t>
  </si>
  <si>
    <t>FUNCIONAMENTO DAS ATIVIDADES DO ICED</t>
  </si>
  <si>
    <t>GESTÃO DA TECNOLOGIA DA INFORMAÇÃO DO ICED</t>
  </si>
  <si>
    <t>MANUTENÇÃO DA INFRAESTRUTURA DO ICED</t>
  </si>
  <si>
    <t>FUNCIONAMENTO DAS ATIVIDADES DO ICEN</t>
  </si>
  <si>
    <t>MANUTENÇÃO DA INFRAESTRUTURA DO ICEN</t>
  </si>
  <si>
    <t>Instituto de Filosofia e Ciências Humanas - IFCH (UGR: 153188)</t>
  </si>
  <si>
    <t>VIAGEM DE CAMPO (FACULDADE DE GEOGRAFIA E CARTOGRAFIA)</t>
  </si>
  <si>
    <t>Integrar ações de ensino, pesquisa e extensão</t>
  </si>
  <si>
    <t>APOIO À ATIVIDADE EXTERNA DOCENTE: EVENTOS CIENTÍFICOS</t>
  </si>
  <si>
    <t>AQUISIÇÃO DE INSUMOS PARA ATIVIDADES ADMINISTRATIVAS E ACADÊMICAS</t>
  </si>
  <si>
    <t>MANUTENÇÃO PREDIAL: ELÉTRICA, HIDRÁULICA, ESTRUTURAL</t>
  </si>
  <si>
    <t>MANUTENÇÃO PREDIAL: ÁGUA E ESGOTO</t>
  </si>
  <si>
    <t>MANUTENÇÃO PREVENTIVA E CORRETIVA DE EQUIPAMENTOS DE REFRIGERAÇÃO</t>
  </si>
  <si>
    <t>SERVIÇOS DE CHAVES E FECHADURAS</t>
  </si>
  <si>
    <t>SERVIÇOS DE REVALIDAÇÃO DE EXTINTORES</t>
  </si>
  <si>
    <t>Garantir estrutura para o desenvovlimento das atividades administrativas e acadêmicas</t>
  </si>
  <si>
    <t>Prover infraestrutura adequada à comunidade acadêmica</t>
  </si>
  <si>
    <t>Garantir a segurança da comunidade acadêmica e dos prédios</t>
  </si>
  <si>
    <t>Área Atendida (M²)</t>
  </si>
  <si>
    <t>Numero de extintores</t>
  </si>
  <si>
    <t>CAPACITAÇÃO DE SERVIDORES DO IFCH</t>
  </si>
  <si>
    <t>REFORMA DE MOBILIÁRIO</t>
  </si>
  <si>
    <t>ATIVAÇÃO SOFTWARE DE ATENDIMENTO CLÍNICA DE PSICOLOGIA</t>
  </si>
  <si>
    <t>MANUTENÇÃO PREVENTIVA E CORRETIVA DO SISTEMA DE CÂMERAS</t>
  </si>
  <si>
    <t>MANUTENÇÃO PREDIAL: TELHADO</t>
  </si>
  <si>
    <t>% de Materiais Antigos e Recuperáveis</t>
  </si>
  <si>
    <t>Aperfeiçoar o atendimento na Clínica de Psicologia</t>
  </si>
  <si>
    <t>Finalização do sitema, canalização do sistema, capacitação do pessoal e teste</t>
  </si>
  <si>
    <t>Manutenção do sistema instalado no prédio administrativo e anexo</t>
  </si>
  <si>
    <t>MÓDULOS III E IV DO CURSO DE INGLÊS PARA SERVIDORES</t>
  </si>
  <si>
    <t>Gerir estrategicamente o quadro de pessoal</t>
  </si>
  <si>
    <t>MANUTENÇÃO DE IMPRESSORAS, NOBREAKS E DATA SHOW</t>
  </si>
  <si>
    <t>MANUTENÇÃO DA REDE LÓGICA DOS PRÉDIOS DO IFCH</t>
  </si>
  <si>
    <t>INSTALAÇÃO DE SISTEMA DE CÂMERAS NOS PRÉDIOS DO IFCH</t>
  </si>
  <si>
    <t>Número de Equipamentos</t>
  </si>
  <si>
    <t>Número de Prédios Atendidos</t>
  </si>
  <si>
    <t>Instituto de Geociências - IG (UGR: 153180)</t>
  </si>
  <si>
    <t>VIAGEM DE CAMPO (FACULDADES DE GEOSIFICA, GEOLOGIA, OCEANOGRAFIA, METEOROLOGIA)</t>
  </si>
  <si>
    <t>PROVER O FUNCIONAMENTO DAS SUBUNIDADES ACADÊMICAS E ADMINISTRATIVAS</t>
  </si>
  <si>
    <t>PARTICIPAÇÃO EM CONGRESSO, FÓRUNS E ETC</t>
  </si>
  <si>
    <t>AQUISIÇÃO DE MATERIAL DE EXPEDIENTE</t>
  </si>
  <si>
    <t>MANUTENÇÃO DOS ESPAÇOS FISICOS ACADÊMICOS E ADMINISTRATIVOS</t>
  </si>
  <si>
    <t xml:space="preserve">% do orçamento de custeio destinada as ações estratégicos </t>
  </si>
  <si>
    <t xml:space="preserve">Priorizar a alocação de recursos em iniciativas estratégicas. </t>
  </si>
  <si>
    <t>participação em eventos</t>
  </si>
  <si>
    <t>adpoiar a participação em eventos</t>
  </si>
  <si>
    <t>material de expediente</t>
  </si>
  <si>
    <t>adequar às necessidades acadêmicas e
administrativas.</t>
  </si>
  <si>
    <t xml:space="preserve">Espaço físico recuperados </t>
  </si>
  <si>
    <t>Adequar as instalações academicas e administrativas</t>
  </si>
  <si>
    <t xml:space="preserve">Equipamentos recuperados </t>
  </si>
  <si>
    <t>Prover o desenvovimento dos servidores com foco em resultados</t>
  </si>
  <si>
    <t>Instituto de Letras e Comunicação - ILC (UGR: 153186)</t>
  </si>
  <si>
    <t>Solicitações atendidas</t>
  </si>
  <si>
    <t>Garantir participação de servidores em eventos e de convidados em atividades de interesse do ILC</t>
  </si>
  <si>
    <t>Bolsistas contratados</t>
  </si>
  <si>
    <t>Contratação de bolsistas para estágio na unidade e subunidades</t>
  </si>
  <si>
    <t>Materiais adquiridos</t>
  </si>
  <si>
    <t>Aquisição de material de consumo por meio da agenda de compras para atender as demandas administrativas do ILC</t>
  </si>
  <si>
    <t>Adequar as instalações acadêmicas e Administrativas</t>
  </si>
  <si>
    <t>Capacitar os servidores técnicos e docentes  para melhor desempenho de suas funções.</t>
  </si>
  <si>
    <t>CAPACITAÇÃO DE SERVIDORES DO ILC</t>
  </si>
  <si>
    <t>Adquirir materias de consumo de informática para atender as necessidades do Instituto</t>
  </si>
  <si>
    <t>PARTICIPAÇÃO EM EVENTOS NO PAÍS</t>
  </si>
  <si>
    <t>PAGAMENTO DE BOLSAS</t>
  </si>
  <si>
    <t>MANUTENÇÃO DOS PRÉDIOS ADMINISTRATIVOS DO ILC</t>
  </si>
  <si>
    <t>MANUTENÇÃO PREVENTIVA DOS SISTEMAS DE REFRIGERAÇÃO</t>
  </si>
  <si>
    <t>Instituto de Ciências Sociais Aplicadas - ICSA (UGR: 153182)</t>
  </si>
  <si>
    <t>VIAGEM DE CAMPO (FACULDADE DE TURISMO)</t>
  </si>
  <si>
    <t>FOMENTO A PROFISSIONALIZAÇÃO DISCENTE/BOLSA PROAD</t>
  </si>
  <si>
    <t>FOMENTO ÀS ATIVIDADES ACADEMICAS E INTERCAMBIO DIARIAS E PASSAGENS</t>
  </si>
  <si>
    <t>AQUISIÇÃO DE GÊNEROS DE ALIMENTAÇÃO VIA AGENDA DE COMPRAS</t>
  </si>
  <si>
    <t>AQUISIÇÃO DE MATERIAL PARA DIVULGAÇÃO (COMUNICAÇÃO)</t>
  </si>
  <si>
    <t>AQUISIÇÃO DE MATERIAL DE CONSUMO RECARGA DE GAS</t>
  </si>
  <si>
    <t>SERVIÇO DE APOIO A MANUTENÇÃO DOS ESPAÇOS ACADÊMICOS E ADMINISTRATIVOS COM DEMANDAS ESPECÍFICAS.</t>
  </si>
  <si>
    <t>SERVIÇOS DE MANUTENÇÃO NAS ÁREAS DOS PAVILHÕES  DE AULA</t>
  </si>
  <si>
    <t>SERVIÇOS DE MANUTENÇÃO NAS ÁREAS DO PRÉDIO ADMINISTRATIVO</t>
  </si>
  <si>
    <t>SERVIÇO DE MANUTENÇÃO DOS EQUIPAMENTOS DE REFRIGERAÇÃO E BEBEDOUROS</t>
  </si>
  <si>
    <t>nº Bolsistas atendidos</t>
  </si>
  <si>
    <t>Pagamento de bolsas Proad para desempenho de atividades administrativas por bolsistas no ICSA</t>
  </si>
  <si>
    <t>Garantir a disponibilidade de recursos para apoiar o desenvolvimento das atividades científicas e acadêmicas do ICSA.</t>
  </si>
  <si>
    <t>Atender as necessidades de material de expedientes das subunidades do ICSA</t>
  </si>
  <si>
    <t>Viabilizar o atendimento de demandas das subunidades quanto a necessidade de gêneros alimentícios (água,café,aúcar)</t>
  </si>
  <si>
    <t>Nº de eventos realizados</t>
  </si>
  <si>
    <t>Atender as necessidades de divulgação de eventos e comunicação no ICSA</t>
  </si>
  <si>
    <t>total de extintores regarregados</t>
  </si>
  <si>
    <t>Garantir a disponibilidade e funcionamento efetivo dos extintores do ICSA</t>
  </si>
  <si>
    <t>Garantir a disponibilidade de recursos para a manutenção dos espaços acadêmicos e administrativos do ICSA</t>
  </si>
  <si>
    <t>Garantir a disponibilidade de recursos para a manutenção dos espaços acadêmicos do ICSA</t>
  </si>
  <si>
    <t>Garantir a disponibilidade de recursos para a manutenção dos espaços administrativos do ICSA</t>
  </si>
  <si>
    <t>Garantir a disponibilidade de recursos para o efetivo funcionamento dos equipamentos de refrigeração do ICSA e bebedouros.</t>
  </si>
  <si>
    <t>Nº DE Suubunidades Atendidas</t>
  </si>
  <si>
    <t>Espaços Atendidos</t>
  </si>
  <si>
    <t>Equipamentos Atendidos</t>
  </si>
  <si>
    <t>Garantir a execução do plano anual de capacitação do ICSA</t>
  </si>
  <si>
    <t>CAPACITAÇÃO DE SERVIDORES DO ICSA</t>
  </si>
  <si>
    <t>SERVIÇO DE MANUTENÇÃO DE EQUIPAMENTOS DE INFORMÁTICA</t>
  </si>
  <si>
    <t xml:space="preserve"> subunidades atendidas </t>
  </si>
  <si>
    <t xml:space="preserve"> Garantir a manutenção dos equipamentos de informáticas das unidades demandantes. </t>
  </si>
  <si>
    <t>Instituto de Tecnologia - ITEC (UGR: 153185)</t>
  </si>
  <si>
    <t>Formar profissionais capacitados</t>
  </si>
  <si>
    <t>PARTICIPAÇÃO EM  CONGRESSOS, FÓRUNS, SIMPÓSIOS E DEMAIS EVENTOS</t>
  </si>
  <si>
    <t>AQUISIÇÃO DE MATERIAL PARA EXPEDIENTES DIVERSOS</t>
  </si>
  <si>
    <t>RECARGA DE EXTINTORES DOS ESPAÇOS FÍSICOS</t>
  </si>
  <si>
    <t>MANUTENÇÃO DE QUADROS MAGNÉTICOS</t>
  </si>
  <si>
    <t>SERVIÇOS DE MANUTENÇÃO PREDIAL EM GERAL DOS ESPAÇOS FÍSICOS</t>
  </si>
  <si>
    <t>REFORMA  DE MOBILIÁRIO DOS ESPAÇOS FÍSICOS</t>
  </si>
  <si>
    <t>MANUTENÇÃO ELÉTRICA, HIDRÁULICA E DE REFRIGERAÇÃO NOS ESPAÇOS FÍSICOS</t>
  </si>
  <si>
    <t>PINTURA EM ESPAÇOS FÍSICOS</t>
  </si>
  <si>
    <t>SERVIÇOS DE MARCENARIA EM GERAL</t>
  </si>
  <si>
    <t xml:space="preserve">TROCA DE FECHADURAS DOS ESPAÇOS FÍSICOS </t>
  </si>
  <si>
    <t>Material adquirido</t>
  </si>
  <si>
    <t>Prevenção de incêndio</t>
  </si>
  <si>
    <t>Quadros Recuperados</t>
  </si>
  <si>
    <t>Revitalização Predial</t>
  </si>
  <si>
    <t>Mobiliário recuperados</t>
  </si>
  <si>
    <t>Revitalização da estrutura física</t>
  </si>
  <si>
    <t>Recuperação de bens móveis</t>
  </si>
  <si>
    <t>Incentivar a participação dos discentes em eventos acadêmicos e de competições tecnológicas</t>
  </si>
  <si>
    <t>Funcionamento do instituto</t>
  </si>
  <si>
    <t>Manutenção preventiva</t>
  </si>
  <si>
    <t>Modernizar e adquirir equipamentos para atender com qualidade a demanda de alunos do instituto</t>
  </si>
  <si>
    <t>Ambiente físico revitalizado e modernizado</t>
  </si>
  <si>
    <t>Adaptar e melhorar o mobiliário para atender as necessidades do instituto</t>
  </si>
  <si>
    <t>Revitalizar as instalações para atender as necessidades do instituto</t>
  </si>
  <si>
    <t>Recuperação e modernização das instalações prediais</t>
  </si>
  <si>
    <t>Adaptar e melhorar o ambiente físico</t>
  </si>
  <si>
    <t>Incentivar a participação de técnicos e docentes em eventos que contribuam no alcance da eficácia e eficiências dos processos administrativos e da excelência institucional</t>
  </si>
  <si>
    <t>INSTALAÇÃO E MANUTENÇÃO DE CABOS DE ALIMENTAÇÃO</t>
  </si>
  <si>
    <t>INSTALAÇÃO E MANUTENÇÃO DE PONTOS LÓGICOS</t>
  </si>
  <si>
    <t xml:space="preserve">AQUISIÇÃO DE SUPRIMENTOS DE INFORMÁTICA </t>
  </si>
  <si>
    <t>INSTALAÇÃO E MANUTENÇÃO DE SISTEMA DE CFTV</t>
  </si>
  <si>
    <t>Instalações recuperadas</t>
  </si>
  <si>
    <t>Pontos lógicos implantados e/ou recuperados</t>
  </si>
  <si>
    <t>Suprimentos adquiridos</t>
  </si>
  <si>
    <t>Melhorar o acesso e o processo de comunicação e informação</t>
  </si>
  <si>
    <t>Modernizar e adquirir equipamentos para atender a demanda</t>
  </si>
  <si>
    <t>Melhorar o processo da gestão de informação</t>
  </si>
  <si>
    <t>Escola de Aplicação (UGR: 153544)</t>
  </si>
  <si>
    <t>FUNCIONAMENTO DAS ATIVIDADES DA EA</t>
  </si>
  <si>
    <t>Programa UFPA: 17 - Educação Básica</t>
  </si>
  <si>
    <t>TECNOLOGIA DA INFORMAÇÃO - CONDICAP</t>
  </si>
  <si>
    <t>GESTÃO DA TECNOLOGIA DA INFORMAÇÃO DA ESCOLA DE APLICAÇÃO</t>
  </si>
  <si>
    <t>Escola de Música (UGR: 152864)</t>
  </si>
  <si>
    <t>Instituto de Ciências da Arte (UGR: 153541)</t>
  </si>
  <si>
    <t>Escola de Teatro e Dança (UGR: 152865)</t>
  </si>
  <si>
    <t>Nº de Servidores Atendidos</t>
  </si>
  <si>
    <t xml:space="preserve">Possibilitar a participação dos servidores </t>
  </si>
  <si>
    <t>nº de Convidados atendidos</t>
  </si>
  <si>
    <t>Promover eventos e dar condições de infraestrutura e troca de conhecimentos</t>
  </si>
  <si>
    <t>Nº de eventos institucionais promovidos</t>
  </si>
  <si>
    <t>Incentivar a elaboração de projetos institucionais que promovam parcerias com entidades de fomento e pesquisa de outros países, sempre buscado a diversificação.</t>
  </si>
  <si>
    <t>Nº de alunos atendidos</t>
  </si>
  <si>
    <t>Promover viadem de campo aos alunos</t>
  </si>
  <si>
    <t>Nº de materiais de Consumo Adquiridos</t>
  </si>
  <si>
    <t>Oferecer estrutura de material de consumo para as atividades do ICA</t>
  </si>
  <si>
    <t>Nº de Equipamentos e Bens Móveis recuperadosrecuperados</t>
  </si>
  <si>
    <t>Oferecer condições de funcionamento para as atividades do ICA</t>
  </si>
  <si>
    <t>Nº de Salas e espaços físicos recuperados</t>
  </si>
  <si>
    <t>Nº de salas recuperadas.</t>
  </si>
  <si>
    <t>Ambiente Físico em condições de funcionamento.</t>
  </si>
  <si>
    <t>Nº de equipamentos adquiridos</t>
  </si>
  <si>
    <t>Oferecer estrutura (física, equipamentos, softwares) para as atividades.</t>
  </si>
  <si>
    <t>Incentivar a participação dos servidores em Programas de apoio à qualificação de servidores docentes e técnicoadministrativos, bem como realizarem outros cursos para atualização de conhecimentos e a capacitação contínua.</t>
  </si>
  <si>
    <t>Nº de participações em reuniões do CONDETUF</t>
  </si>
  <si>
    <t>Priorizar a utilização dos recursos disponíveis na execução dos objetivos do plano, bem como realizar acompanhamento e controle periódico dos resultados.</t>
  </si>
  <si>
    <t>Nº de convidados externos</t>
  </si>
  <si>
    <t>Expansão de Cursos de Graduação e Técnicos do ICA.</t>
  </si>
  <si>
    <t>Nº de materiais adquiridos</t>
  </si>
  <si>
    <t>Nº de equipamentos, instrumentos e mobiliários recuperados</t>
  </si>
  <si>
    <t>Nº de equipamentos de refrigeração recuperados</t>
  </si>
  <si>
    <t>Nº de salas e espaços físicos recuperados</t>
  </si>
  <si>
    <t>Nº de materiais de TI adquiridos</t>
  </si>
  <si>
    <t>Nº de equipamentos de TI recuperados</t>
  </si>
  <si>
    <t>Nº de equipamentos de TI adquiridos</t>
  </si>
  <si>
    <t>VISITAS TÉCNICAS DOS SERVIDORES DA EMUFPA</t>
  </si>
  <si>
    <t>Nº de servidores participantes</t>
  </si>
  <si>
    <t>ATENDIMENTO DAS DEMANDAS INSTITUCIONAIS DE VIAGENS E TAXA DE ANUIDADE DE PARTICIPAÇÃO NO CONDETUF DA ESCOLA DE MÚSICA</t>
  </si>
  <si>
    <t>ATENDIMENTO DE OUTRAS DEMANDAS INSTITUCIONAIS DE VIAGENS DE COMISSÕES DE CONCURSO PÚBLICO E EVENTOS DA ESCOLA DE MÚSICA</t>
  </si>
  <si>
    <t>AUXÍLIO FINANCEIRO (VIAGEM ACADÊMICA INTERNACIONAL E KIT ACADÊMICO PCD) AO DISCENTE DA ESCOLA DE MÚSICA</t>
  </si>
  <si>
    <t>ATENDIMENTO DAS DEMANDAS DOS EVENTOS INSTITUCIONAIS DA ESCOLA DE MÚSICA</t>
  </si>
  <si>
    <t>AQUISIÇÃO DE BENS DE CONSUMO PARA CONTINUIDADE DAS ATIVIDADES DA ESCOLA DE MÚSICA</t>
  </si>
  <si>
    <t>MANUTENÇÃO DE BENS PERMANENTES DA ESCOLA DE MÚSICA</t>
  </si>
  <si>
    <t>MANUTENÇÃO DE APARELHOS DE REFRIGERAÇÃO DA ESCOLA DE MÚSICA</t>
  </si>
  <si>
    <t>MANUTENÇÃO DOS PRÉDIOS DE SALAS DE AULA E SALAS ADMINISTRATIVAS DA ESCOLA DE MÚSICA</t>
  </si>
  <si>
    <t>AQUISIÇÃO DE BENS DE CONSUMO DE TECNOLOGIA DA INFORMAÇÃO PARA CONTINUIDADE DAS ATIVIDADES DA ESCOLA DE MÚSICA</t>
  </si>
  <si>
    <t>MANUTENÇÃO DE BENS PERMANENTES DE TECNOLOGIA DA INFORMAÇÃO DA ESCOLA DE MÚSICA</t>
  </si>
  <si>
    <t>AQUISIÇÃO DE BENS PERMANENTES PARA CONTINUIDADE DAS ATIVIDADES DA ESCOLA DE MÚSICA - CAPITAL</t>
  </si>
  <si>
    <t>AQUISIÇÃO DE BENS PERMANENTES DE TECNOLOGIA DA INFORMAÇÃO PARA CONTINUIDADE DAS ATIVIDADES DA ESCOLA DE MÚSICA - CAPITAL</t>
  </si>
  <si>
    <t>AUXÍLIOS DO PROGRAMA DE ASSISTÊNCIA AO EDUCANDO DO ENSINO TÉCNICO - ASSISTÊNCIA ESTUDANTIL EPT - EMUFPA</t>
  </si>
  <si>
    <t>Nº de discentes atendidos</t>
  </si>
  <si>
    <t>Contratação de serviço de transcrição em braille de partitura e texto musical - Assistência Estudantil Indireta IFEPT - EMUFPA</t>
  </si>
  <si>
    <t>Aquisição de bens de consumo para continuidade das atividades acadêmicas - Assistência Estudantil Indireta IFEPT - EMUFPA</t>
  </si>
  <si>
    <t>FUNCIONAMENTO DA ESCOLA DE APLICAÇÃO - CONDICAP - CUSTEIO</t>
  </si>
  <si>
    <t>FUNCIONAMENTO DA ESCOLA DE APLICAÇÃO - CONDICAP - CAPITAL</t>
  </si>
  <si>
    <t xml:space="preserve">ATENDIMENTO DAS DEMANDAS DE VIAGENS DE SERVIDORES  PARA PARTICIPAÇÃO EM EVENTOS ACADÊMICOS </t>
  </si>
  <si>
    <t>ATENDIMENTO DAS DEMANDAS DE VIAGENS PARA CONVIDADOS PARTICIPAREM DE EVENTOS PROMOVIDOS PELO INSTITUTO</t>
  </si>
  <si>
    <t>ATENDIMENTO DAS DEMANDAS DOS EVENTOS INSTITUCIONAIS DO ICA</t>
  </si>
  <si>
    <t>ATENDIMENTO DAS DEMANDAS DE VIAGENS DE CAMPO PARA OS DISCENTES DO ICA</t>
  </si>
  <si>
    <t>AQUISIÇÃO DE BENS DE CONSUMO PARA CONTINUIDADE DAS ATIVIDADES DOD CURSOS DE GRADUAÇÃO DO ICA</t>
  </si>
  <si>
    <t>MANUTENÇÃO DE BENS MÓVEIS E EQUIPAMENTOS DO ICA</t>
  </si>
  <si>
    <t>MANUTENÇÃO DOS PRÉDIOS E DE SALAS DE AULA E SALAS ADMINISTRATIVAS DO ICA</t>
  </si>
  <si>
    <t>MANUTENÇÃO PREDIAL DAS SALAS ADMINISTRATIVAS DO  ICA</t>
  </si>
  <si>
    <t>ATENDIMENTO DAS DEMANDAS INSTITUCIONAIS DE VIAGENS E TAXA DE ANUIDADE DE PARTICIPAÇÃO NO CONDETUF DA ETDUFPA</t>
  </si>
  <si>
    <t>ATENDIMENTO DE OUTRAS DEMANDAS INSTITUCIONAIS DE VIAGENS DE COMISSÕES DE CONCURSO PÚBLICO E EVENTOS DA ETDUFPA</t>
  </si>
  <si>
    <t>AQUISIÇÃO DE BENS DE CONSUMO PARA CONTINUIDADE DAS ATIVIDADES DA ETDUFPA</t>
  </si>
  <si>
    <t>MANUTENÇÃO DE BENS PERMANENTES DA  - ETDUFPA</t>
  </si>
  <si>
    <t>MANUTENÇÃO DE APARELHOS DE REFRIGERAÇÃO DA ETDUFPA</t>
  </si>
  <si>
    <t>MANUTENÇÃO DOS PRÉDIOS DE SALAS DE AULA E SALAS ADMINISTRATIVAS DA ETDUFPA</t>
  </si>
  <si>
    <t>ATENDIMENTO DAS DEMANDAS DOS EVENTOS INSTITUCIONAIS DA ETDUFPA</t>
  </si>
  <si>
    <t>AQUISIÇÃO DE BENS DE CONSUMO DE TECNOLOGIA DA INFORMAÇÃO PARA CONTINUIDADE DAS ATIVIDADES DA ETDUFPA</t>
  </si>
  <si>
    <t>MANUTENÇÃO DE BENS PERMANENTES DE TECNOLOGIA DA INFORMAÇÃO DA ETDUFPA</t>
  </si>
  <si>
    <t>Auxílios do Programa de Assistência ao Educando do Ensino Técnico - Assistência Estudantil EPT - ETDUFPA</t>
  </si>
  <si>
    <t>AQUISIÇÃO DE BENS PERMANENTES PARA CONTINUIDADE DAS ATIVIDADES DA ETDUFPA - CAPITAL</t>
  </si>
  <si>
    <t>Instituto de Educação Matemática e Científica - IEMCI (UGR: 156009)</t>
  </si>
  <si>
    <t xml:space="preserve">AQUISIÇÃO DE MATERIAL DE CONSUMO </t>
  </si>
  <si>
    <t>SERVIÇOS DE PESSOA JURÍDICA</t>
  </si>
  <si>
    <t>RECUPERAÇÃO DO BLOCO ACADÊMIICO</t>
  </si>
  <si>
    <t>RECUPERAÇÃO DO BLOCO ADMINISTRATIVO</t>
  </si>
  <si>
    <t xml:space="preserve"> Servidor Atendido</t>
  </si>
  <si>
    <t>Prover o  Serviço de Interesse Instuticional</t>
  </si>
  <si>
    <t>Aquisição Realizada</t>
  </si>
  <si>
    <t>Prover  Materiais  para às Áreas Acadêmica e Administrativo</t>
  </si>
  <si>
    <t>Serviço  Prestado</t>
  </si>
  <si>
    <t>Prover Serviços  para as  Área  Acadêmicas e Administrativos</t>
  </si>
  <si>
    <t>Espaço Físico Recuperado</t>
  </si>
  <si>
    <t>Adequar as Instalações Acadêmicas</t>
  </si>
  <si>
    <t>Adequar as Instalações Administrativas</t>
  </si>
  <si>
    <t>Equipamento Recuperaddo</t>
  </si>
  <si>
    <t>Adequar as Instações Acadêmicas e Administrativas</t>
  </si>
  <si>
    <t>CAPACITAÇÃO DE SERVIDORES DO IEMCI</t>
  </si>
  <si>
    <t>Incentivar a  Capacitação de Servidores</t>
  </si>
  <si>
    <t xml:space="preserve">MANUTENÇÃO DE EQUIPAMENTOS DE INFORMÁTICA  </t>
  </si>
  <si>
    <t>AQUISIÇÃO DE MATERIAL DE CONSUMO DE INFORMÁTICA</t>
  </si>
  <si>
    <t>Adequar Equipamentos a necessidades de Trabalho</t>
  </si>
  <si>
    <t>Materiais Adquiridos</t>
  </si>
  <si>
    <t>Adquirir Suprimentos e Periférios de TI</t>
  </si>
  <si>
    <t>Instituto de Estudos Costeiros - IECOS (UGR: 151079)</t>
  </si>
  <si>
    <t>VIAGENS DE CAMPO - IECOS</t>
  </si>
  <si>
    <t>Instituto de Medicina Veterinária -  IMV (UGR: 155724)</t>
  </si>
  <si>
    <t>PARTICIPAÇÃO DE SERVIDORES EM REUNIÕES ADMINSTRATIVAS</t>
  </si>
  <si>
    <t>PARTICIPAÇÃO DE DISCENTES EM EVENTOS</t>
  </si>
  <si>
    <t>MANUTENÇÃO PREDIAL ADMINISTRATIVA</t>
  </si>
  <si>
    <t>MANUTENÇÃO PREDIAL ACADÊMICA</t>
  </si>
  <si>
    <t xml:space="preserve">Otimizar a distribuição interna dos recursos orçamentários e financeiros de modo condizente com o desempenho, a necessidade e a especificidade de cada unidade acadêmica, buscando adescentralização desse processo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</si>
  <si>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Apoiar as atividades voltadas ao planejamento acadêmico.</t>
  </si>
  <si>
    <t>Planejar a expansão e adequação da infraestrutura urbana e predial por meio da proposição, execução e avaliação com base na legislação vigente</t>
  </si>
  <si>
    <t>Servidores Atendidos</t>
  </si>
  <si>
    <t>Discentes Atendidos</t>
  </si>
  <si>
    <t>Serviços Atendidos</t>
  </si>
  <si>
    <t>Nº de Projetos Atendidos</t>
  </si>
  <si>
    <t>CAPACITAÇÃO DE SERVIDORES DO IMV</t>
  </si>
  <si>
    <t>Valorizar os servidores por meio da ampliação das ações de capacitação, qualificação, saúde e qualidade de vida, promovendo o seu reconhecimento com base no desempenho laboral e aderência à cultura de inovação.</t>
  </si>
  <si>
    <t>AQUISIÇÃO DE MATERIAL DE CONSUMO DE INFORMAÇÃO</t>
  </si>
  <si>
    <t xml:space="preserve">EXTENSÃO E MANUTENÇÃO ESTRUTURA </t>
  </si>
  <si>
    <t>Material Adquirido</t>
  </si>
  <si>
    <t>Nº de laboratórios contemplados</t>
  </si>
  <si>
    <t xml:space="preserve">Incentivar ações de ensino, pesquisa e extensão que contemplem a interdisciplinaridade e cidadania.
Estimular o desenvolvimento de projetos de pesquisa com ações extensionistas que envolvam discentes. </t>
  </si>
  <si>
    <t xml:space="preserve">Nº de setores contemplados </t>
  </si>
  <si>
    <t>Nº de assegurados</t>
  </si>
  <si>
    <t xml:space="preserve">Nº de setores e/ou laboratórios contemplados </t>
  </si>
  <si>
    <t>Servidores atendidos</t>
  </si>
  <si>
    <t>Reformas/serviços executados</t>
  </si>
  <si>
    <t xml:space="preserve">Incentivar ações de ensino, pesquisa e extensão que contemplem a interdisciplinaridade e cidadania. </t>
  </si>
  <si>
    <t xml:space="preserve">Estimular o desenvolvimento de projetos de pesquisa com ações extensionistas que envolvam discentes. </t>
  </si>
  <si>
    <t>PARTICIPAÇÃO EM AUDITORIAS DE HOSPITAIS VETERINÁRIOS E FÓRUM</t>
  </si>
  <si>
    <t>QUALIFICAÇÃO TÉCNICA E/OU DOCENTE</t>
  </si>
  <si>
    <t>AQUISIÇÃO DE MATERIAL LABORATORIAL</t>
  </si>
  <si>
    <t>AQUISIÇÃO DE MATERIAL HOSPITALAR</t>
  </si>
  <si>
    <t>AQUISIÇÃO DE MEDICAMENTO DE USO HUMANO</t>
  </si>
  <si>
    <t>MEDICAMENTOS DE USO VETERINÁRIO</t>
  </si>
  <si>
    <t>CONTRATAÇÃO DE SERVIÇO DE FORNECIMENTO DE OXIGÊNIO MEDICINAL</t>
  </si>
  <si>
    <t>CONTRATAÇÃO DE SEGURO DE VIDA PARA PRÁTICAS HOSPITALARES PARA OS RESIDENTES DO HV</t>
  </si>
  <si>
    <t>MANUTENÇÃO DE EQUIPAMENTOS</t>
  </si>
  <si>
    <t>MANUTENÇÃO PREDIAL</t>
  </si>
  <si>
    <t>AQUISIÇÃO DE EQUIPAMENTOS - CAPITAL</t>
  </si>
  <si>
    <t>FUNCIONAMENTO DAS ATIVIDADES DO IECOS</t>
  </si>
  <si>
    <t>GESTÃO DA TECNOLOGIA DA INFORMAÇÃO DO IECOS</t>
  </si>
  <si>
    <t>Instituto Amazônico de Agriculturas Familiares - INEAF (UGR: 153550)</t>
  </si>
  <si>
    <t>Formar e capacitar proficionais com foco na Agricultura familiar</t>
  </si>
  <si>
    <t>Alunos atendidos</t>
  </si>
  <si>
    <t>Nº de turmas atendidas</t>
  </si>
  <si>
    <t>Atender as necessidades da faculdade</t>
  </si>
  <si>
    <t>BACHARELADO EM DESENVOLVIMENTO RURAL - TURMA 2018</t>
  </si>
  <si>
    <t>BACHARELADO EM DESENVOLVIMENTO RURAL - TURMA 2019</t>
  </si>
  <si>
    <t>BACHARELADO EM DESENVOLVIMENTO RURAL - TURMA 2020</t>
  </si>
  <si>
    <t>MATERIAL DE CONSUMO</t>
  </si>
  <si>
    <t>Nº de Subunidades atendidas</t>
  </si>
  <si>
    <t>Atender as necessidades de toda Unidade</t>
  </si>
  <si>
    <t xml:space="preserve">Participações em eventos </t>
  </si>
  <si>
    <t xml:space="preserve">Apoiar a participação dos servidores em eventos  </t>
  </si>
  <si>
    <t>Adequação da quantidadedos extintores de incêndio</t>
  </si>
  <si>
    <t>Executar serviços de prevenção</t>
  </si>
  <si>
    <t>Recuperação da parte elétrica da unidade</t>
  </si>
  <si>
    <t>Bom funcionamento da parte elétrica</t>
  </si>
  <si>
    <t>Equipamentos com manutenção adequada</t>
  </si>
  <si>
    <t>Bom funcionamento dos equipamentos</t>
  </si>
  <si>
    <t>Espaço físico recuperado</t>
  </si>
  <si>
    <t>Recuperar espaço físico acadêmico e administrativo</t>
  </si>
  <si>
    <t>PARTICIPAÇÕES EM CONGRESSOS, REUNIÕES, FÓRUNS E SEMELHANTES</t>
  </si>
  <si>
    <t>AQUISIÇÃO DE MATERIAL EXPEDIENTE</t>
  </si>
  <si>
    <t>MANUTENÇÕES PREVENTIVAS (EXTINTORES)</t>
  </si>
  <si>
    <t>MANUTENÇÃO PREVENTIVA EM ELÉTRICA</t>
  </si>
  <si>
    <t>MANUTENÇÃO PREVENTIVA EM REFRIGERAÇÃO PISO SUPERIOR (NOVO)</t>
  </si>
  <si>
    <t>DESPESAS COM CORRESPONDÊNCIAS</t>
  </si>
  <si>
    <t>MANUTENÇÃO DO PRÉDIO ADMINISTRATIVO - ACADÊMICO</t>
  </si>
  <si>
    <t>MANUTENÇÃO PREVENTIVA EM REFREIGERAÇÃO</t>
  </si>
  <si>
    <t>CAPACITAÇÃO DE SERVIDORES DO INEAF</t>
  </si>
  <si>
    <t>Estimular a capacitação tanto no âmbito da Ufpa como fora dela.</t>
  </si>
  <si>
    <t>AQUISIÇÃO DE MATERIAL DE CONSUMO NA ÁREA DE INFORMÁTICA</t>
  </si>
  <si>
    <t>EXECUÇÃO DE SERVIÇOS DE MANUTENÇÃO EM INFORMÁTICA</t>
  </si>
  <si>
    <t>Prover o suporte necessário para o funcionamento dos equipamentos</t>
  </si>
  <si>
    <t>Melhorar o desempenho dos equipamentos</t>
  </si>
  <si>
    <t>Núcleo de Altos Estudos Amazônicos - NAEA (UGR: 153542)</t>
  </si>
  <si>
    <t xml:space="preserve">Produção acadêmica </t>
  </si>
  <si>
    <t>viagens e diarias de servidores  para Seminários e eventos academicos</t>
  </si>
  <si>
    <t>Produções Administrativas</t>
  </si>
  <si>
    <t xml:space="preserve">Oferecer conhecimento na área de gestão administrativa e celeridade nps procedimentos administrativos. </t>
  </si>
  <si>
    <t>Otimização de recursos</t>
  </si>
  <si>
    <t>Atender a demanda das rotinas administrativas da unidade</t>
  </si>
  <si>
    <t xml:space="preserve"> orçamento de
custeio destinado
aos planos
estratégico</t>
  </si>
  <si>
    <t>Priorizar a alocação de
recursos em ações
que contribuam para o
alcance dos objetivos
especificos</t>
  </si>
  <si>
    <t>orçamento de
custeio destinado
aos projetos
estratégicos</t>
  </si>
  <si>
    <t>Expandir e adequar a
infraestrutura de
acordo as
necessidades da Unidade</t>
  </si>
  <si>
    <t>Instalações adequadas Modernizada e recuperada</t>
  </si>
  <si>
    <t>Adequar a infraestrutura de acordo com as necessidades da unidade</t>
  </si>
  <si>
    <t>AÇÕES PARA PROMOVER A DISSEMINAÇÃO DAS ATIVIDADES DE PESQUISA PASSÍVEIS DE TEREM INSERÇÃO NO TERRITÓRIO</t>
  </si>
  <si>
    <t>AÇÕES VOLTADAS PARA BOLSAS ADMINISTRATIVAS DA UNIDADE</t>
  </si>
  <si>
    <t>AÇÕES DE ALOCAÇÃO DE RECURSOS PARA O DESENVOLVIMENTO DAS ATIVIDADES DO NÚCLEO</t>
  </si>
  <si>
    <t>AÇÕES PARA SERVIÇOS DE TERCEIROS ESPECÍFICOS</t>
  </si>
  <si>
    <t>PRIORIZAR A ALOCAÇÃO DE RECURSOS EM INICIATIVAS ESTRATÉGICAS</t>
  </si>
  <si>
    <t>PROVER INFRAESTRUTURA ADEQUADA AS NECESSIDADES ADMINISTRATIVAS E ACADÊMICAS</t>
  </si>
  <si>
    <t>DISPONIBILIZAR SISTEMAS ESSENCIAIS E GERENCIAIS DE TECNOLOGIA DA INFORMAÇÃO</t>
  </si>
  <si>
    <t xml:space="preserve">Disponibilizar sistemas tecnologicos que atedam as necessidades das unidades administraticas, academicas e de pesquisa deste Núcleo </t>
  </si>
  <si>
    <t xml:space="preserve">Sistemas de infraestrutura tecnologicos </t>
  </si>
  <si>
    <t>Núcleo de Desenvolvimento Amazônico em Engenharia - NDAE (UGR: 155725)</t>
  </si>
  <si>
    <t>MANUTENÇÃO E ABASTECIMENTO DE FROTA</t>
  </si>
  <si>
    <t>CAPACITAÇÃO DE SERVIDORES DO NDAE</t>
  </si>
  <si>
    <t>quantidade de diárias concedidas</t>
  </si>
  <si>
    <t>Execução de projetos de pesquisa e extensão e parcerias interinstitucionais que visem o desenvolvimento sustentável</t>
  </si>
  <si>
    <t>Viagens realizadas</t>
  </si>
  <si>
    <t>Formação de parcerias institucionais para a melhoria do ensino, pesquisa e extensão</t>
  </si>
  <si>
    <t>Nº de projetos da Unidade que visem o desenvolvimento sustentável</t>
  </si>
  <si>
    <t>Quantidade de Garrafões de 20l</t>
  </si>
  <si>
    <t>Quantidade de veículos atendidos</t>
  </si>
  <si>
    <t>Quantidades de extintores manutenidos</t>
  </si>
  <si>
    <t>Quantidade metros realizados</t>
  </si>
  <si>
    <t>Melhorar a Infraestrutura Física e Lógica de rede na área acadêmico-administrativa da Unidade</t>
  </si>
  <si>
    <t>Espaços físicos recuperados</t>
  </si>
  <si>
    <t>Incentivar a participação dos servidores em eventos de caráter socioambiental</t>
  </si>
  <si>
    <t>Números de impressoras recuperadas</t>
  </si>
  <si>
    <t>Otimizar a gestão dos Recursos de TI da Unidade</t>
  </si>
  <si>
    <t>Número de tonner adquiridos</t>
  </si>
  <si>
    <t>DIÁRIA DE MOTORISTAS</t>
  </si>
  <si>
    <t>PARTICIPAÇÃO EM REUNIÕES, EVENTOS E FORÚNS</t>
  </si>
  <si>
    <t>AQUISIÇÃO DE MATERIAL ELÉTRICO, HIDRÁULICO E REFRIGERAÇÃO</t>
  </si>
  <si>
    <t>AQUISIÇÃO DE ÁGUA MINERAL</t>
  </si>
  <si>
    <t>MANUTENÇÃO DE EXTINTORES DE 12 KG ABC</t>
  </si>
  <si>
    <t>SERVIÇO DE MANUTENÇÃO ELÉTRICA EXTERNA</t>
  </si>
  <si>
    <t>MANUTENÇÃO DO PRÉDIO ADMINISTRATIVO</t>
  </si>
  <si>
    <t>MANUTENÇÃO E SUPORTE  DE IMPRESSORAS</t>
  </si>
  <si>
    <t>AQUISIÇÃO DE TONNER</t>
  </si>
  <si>
    <t>AQUISIÇÃO DE PERIFÉRICOS DE INFORMÁTICA</t>
  </si>
  <si>
    <t>MANUTENÇÃO PREVENTIVA E CORRETIVA DE EQUIPAMENTOS</t>
  </si>
  <si>
    <t>Núcleo de Medicina Tropical - NMT (UGR: 153539)</t>
  </si>
  <si>
    <t>Eventos</t>
  </si>
  <si>
    <t>Aresentação de trabalhos</t>
  </si>
  <si>
    <t>Serviços de Pintura</t>
  </si>
  <si>
    <t>Equipamentos recuperados</t>
  </si>
  <si>
    <t>Manutenção das atividades</t>
  </si>
  <si>
    <t>Funcionamento dos Laboratórios</t>
  </si>
  <si>
    <t>AQUISIÇÃO DE MATERIAL DE PROCESSAMENTO DE DADOS</t>
  </si>
  <si>
    <t>MANUTENÇÃO DE EQUIP.  DE PROCESSAMENTO DE DADOS</t>
  </si>
  <si>
    <t>Modernização da TI</t>
  </si>
  <si>
    <t>Prover o funcionamento das atividades</t>
  </si>
  <si>
    <t>Quantidade de artigos publicados</t>
  </si>
  <si>
    <t>Submissão de artigos a periódicos internacionais e nacionais renomados</t>
  </si>
  <si>
    <t>Aparelhos de refrigeração de ar reparados</t>
  </si>
  <si>
    <t>Refrigeração em todo o prédio</t>
  </si>
  <si>
    <t>AQUISIÇÃO DE MATERIAL DE CONSUMO PARA LABORATÓRIO</t>
  </si>
  <si>
    <t>PROVER INFRAESTRUTURA ADEQUADA ÀS NECESSIDADES ACADÊMICAS E ADMINISTRATIVAS</t>
  </si>
  <si>
    <t>Núcleo de Pesquisa em Oncologia - NPO (UGR: 152751)</t>
  </si>
  <si>
    <t>Núcleo de Meio Ambiente - NUMA (UGR: 153540)</t>
  </si>
  <si>
    <t>FUNCIONAMENTO DAS ATIVIDADES DO NUMA</t>
  </si>
  <si>
    <t>MANUTENÇÃO DA INFRAESTRUTURA DO NUMA</t>
  </si>
  <si>
    <t>GESTÃO DA TECNOLOGIA DA INFORMAÇÃO DO NUMA</t>
  </si>
  <si>
    <t>Núcleo de Teoria e Pesquisa do Compurtamento - NTPC (UGR: 151081)</t>
  </si>
  <si>
    <t>CAPACITAÇÃO DE SERVIDORES DO NTPC</t>
  </si>
  <si>
    <t>AUXÍLIO FINANCEIRO - BOLSA ESTÁGIO</t>
  </si>
  <si>
    <t>MATERIAL DE CONSUMO - AGENDA DE COMPRAS</t>
  </si>
  <si>
    <t>MANUTENÇÃO PREDIAL - ACESSIBILIDADE</t>
  </si>
  <si>
    <t>MANUTENÇÃO DO SISTEMA DE CÂMERAS E ALARMES</t>
  </si>
  <si>
    <t>Número de setores atendidos</t>
  </si>
  <si>
    <t>Aprimorar o conhecimento prático</t>
  </si>
  <si>
    <t>Realizar ações com a política de sustentabilidade</t>
  </si>
  <si>
    <t>Número de equipamentos manutenidos</t>
  </si>
  <si>
    <t>Obra de acessibilidade realizada</t>
  </si>
  <si>
    <t>Realizar obras de acessibilidade</t>
  </si>
  <si>
    <t>Número de Prédio atendido</t>
  </si>
  <si>
    <t>Realizar Projeto de reforma elétrica</t>
  </si>
  <si>
    <t>Número de Servidores capacitados</t>
  </si>
  <si>
    <t>Motivar servidores a participarem de eventos de capacitação</t>
  </si>
  <si>
    <t>Prédio atendido</t>
  </si>
  <si>
    <t>Realizar ações de segurança do prédio</t>
  </si>
  <si>
    <t>Núcleo de Inovação e Tecnologias Aplicadas a Ensino e Extensão - NITAE2 (UGR: 150049)</t>
  </si>
  <si>
    <t>CAPACITAÇÃO DE SERVIDORES DO NITAE2</t>
  </si>
  <si>
    <t>PARTICIPAÇÃO EM REUNIÕES E CONGRESSOS</t>
  </si>
  <si>
    <t>MANUTENÇÃO PREVENTIVA DOS APARELHOS DE AR-CONDICIONADO</t>
  </si>
  <si>
    <t>MANUTENÇÃO DO PRÉDIO DO NITAE</t>
  </si>
  <si>
    <t>FUNCIONAMENTO DOS CURSOS DE EDUCAÇÃO A DISTÂNCIA</t>
  </si>
  <si>
    <t>Viagens</t>
  </si>
  <si>
    <t>Participar de congressos, reuniões e demais eventos.</t>
  </si>
  <si>
    <t>Aquisição de materiais para o funcionamento do núcleo</t>
  </si>
  <si>
    <t>Instalações físicas de qualidade</t>
  </si>
  <si>
    <t>Desenvolvimento dos servidores</t>
  </si>
  <si>
    <t>Formação de alunos EaD</t>
  </si>
  <si>
    <t>Núcleo de Estudos Transdisciplinares em Educação Básica - NEB (UGR: 156153)</t>
  </si>
  <si>
    <t>Aquisição de Material de Expediente</t>
  </si>
  <si>
    <t>Serviço de bolsista na administração do NEB</t>
  </si>
  <si>
    <t>Funcionamento das Unidades Acadêmicas</t>
  </si>
  <si>
    <t>Realização de Eventos</t>
  </si>
  <si>
    <t>Manutenção do Prédio</t>
  </si>
  <si>
    <t>Manutenção de Refrigeração</t>
  </si>
  <si>
    <t>Manutenção de rede lógica</t>
  </si>
  <si>
    <t>Manutenção de computadores e impressoras</t>
  </si>
  <si>
    <t>Agenda de compras</t>
  </si>
  <si>
    <t>Atender a agenda de compras</t>
  </si>
  <si>
    <t>Bolsistas PROAD</t>
  </si>
  <si>
    <t>Pagar bolsista PROAD em caso de contigenciamento</t>
  </si>
  <si>
    <t>Evento anual de discussão da escola básica</t>
  </si>
  <si>
    <t>Espaços Físicos Recuperados</t>
  </si>
  <si>
    <t>Adequar as instalações acadêmicas e administrativas</t>
  </si>
  <si>
    <t>Promover o desenvolvimento dos servidores técnicos administrativos</t>
  </si>
  <si>
    <t>Pontos lógicos recuperados</t>
  </si>
  <si>
    <t>Fornecer acesso a internet para as atividades acadêmicas e administrativas</t>
  </si>
  <si>
    <t>N. de computadores e impressoras reparados</t>
  </si>
  <si>
    <t>Atender as atividades administrativas e acadêmicas</t>
  </si>
  <si>
    <t>Campus de Abaetetuba (UGR: 153557)</t>
  </si>
  <si>
    <t>CAPACITAÇÃO DE SERVIDORES DO CAMPUS ABAETETUBA</t>
  </si>
  <si>
    <t>VIAGEM DE CAMPO (EDUCAÇÃO DO CAMPO)</t>
  </si>
  <si>
    <t>VIAGEM DE CAMPO ( TECNOLOGIA EM AGROECOLOGIA)</t>
  </si>
  <si>
    <t>MANUTENÇÃO DE VEÍCULOS</t>
  </si>
  <si>
    <t>APOIO A ATIVIDADES ESTUDANTIS</t>
  </si>
  <si>
    <t>AQUISIÇÃO DE MATERIAL DE EXPEDIENTE E LABORATÓRIAIS</t>
  </si>
  <si>
    <t>VIAGENS ACADEMICAS E ADMINISTRATIVAS</t>
  </si>
  <si>
    <t>MANUTENÇÃO DE REFRIGERAÇÃO</t>
  </si>
  <si>
    <t>AQUISIÇÃO DE MATERIAS DE CONSUMO DE TI</t>
  </si>
  <si>
    <t>MANUTENÇÃO DA REDE LOGICA</t>
  </si>
  <si>
    <t xml:space="preserve">Formar profissionais aptos para o mundo do trabalho e o exercício da cidadania 
</t>
  </si>
  <si>
    <t>Veículos recuperados</t>
  </si>
  <si>
    <t>Eventos estudantis atendidos</t>
  </si>
  <si>
    <t>Numero de diarias atendidas</t>
  </si>
  <si>
    <t>MateriaIs adquiridos</t>
  </si>
  <si>
    <t>Maquinas recuperadas</t>
  </si>
  <si>
    <t>Espaços fisicos recuperados</t>
  </si>
  <si>
    <t>Ponto lógicos recuperados</t>
  </si>
  <si>
    <t>Prover infraestrutura adequada às necessidades acadêmicas e administrativas</t>
  </si>
  <si>
    <t>Apoio a realização de eventos estudantis</t>
  </si>
  <si>
    <t>Assegurar participação em eventos</t>
  </si>
  <si>
    <t>Conservação de  equipamentos</t>
  </si>
  <si>
    <t>Adequação das instalações acadêmicas e administrativas</t>
  </si>
  <si>
    <t>Capacitar servidor com foco em resultados</t>
  </si>
  <si>
    <t>Aquisição de materiais de ti</t>
  </si>
  <si>
    <t>Prover a infraestrutura de ti adequada as necessidades academicas e administrativas</t>
  </si>
  <si>
    <t>Campus de Ananindeua (UGR: 152761)</t>
  </si>
  <si>
    <t>VIAGENS DE CAMPO ANANINDEUA</t>
  </si>
  <si>
    <t>Otimizar a aplicação dos recursos de custeio conforme as necessidades acadêmicas</t>
  </si>
  <si>
    <t>MANUTENÇÃO VEICULAR</t>
  </si>
  <si>
    <t xml:space="preserve">MATERIAIS DE EXPEDIENTE </t>
  </si>
  <si>
    <t xml:space="preserve">PARTICIPAÇÕES EM CONGRESSOS E EVENTOS </t>
  </si>
  <si>
    <t xml:space="preserve">MANUTENÇÃO DE BLOCOS DE SALAS DE AULA </t>
  </si>
  <si>
    <t>MANUTENÇÃO DO SISTEMA DE REFRIGERAÇÃO</t>
  </si>
  <si>
    <t xml:space="preserve">AQUISIÇÃO DE SUPRIMENTOS E ACESSÓRIOS DE INFORMÁTICA </t>
  </si>
  <si>
    <t>Veículos atendidos</t>
  </si>
  <si>
    <t>Otimizar a aplicação dos recursos de custeio conforme as necessidades administrativas e acadêmicas</t>
  </si>
  <si>
    <t xml:space="preserve">materiais adquiridos </t>
  </si>
  <si>
    <t>participações em eventos</t>
  </si>
  <si>
    <t>Implementar projetos de adequação no Campus conforme as necessidades administrativas e acadêmicas</t>
  </si>
  <si>
    <t>Otimizar o sistema de refrigeração visando a redução do consumo de energia por meio de um programa de manutenção preventiva</t>
  </si>
  <si>
    <t>Incentivar a capacitação dos técnicos e docentes</t>
  </si>
  <si>
    <t>Expandir a disponibilidade de internet via instalação de cabos lógicos e redes sem fio</t>
  </si>
  <si>
    <t>Campus de Altamira (UGR: 153553)</t>
  </si>
  <si>
    <t>VIAGEM DE CAMPO DA FACULDADE DE ETNODIVERSIDADE</t>
  </si>
  <si>
    <t>VIAGEM DE CAMPO DA FACULDADE DE ENGENHARIA FLORESTAL</t>
  </si>
  <si>
    <t>VIAGEM DE CAMPO PARA O CURSO DE EDUCAÇÃO DO CAMPO</t>
  </si>
  <si>
    <t>Reserva de % do Orçamento</t>
  </si>
  <si>
    <t>Nº de impressora cosertadas</t>
  </si>
  <si>
    <t>Nº de processo de compras</t>
  </si>
  <si>
    <t>projeção  quantitativa/qualitativa</t>
  </si>
  <si>
    <t>% de material de expediente adquirido através de agenda de compras</t>
  </si>
  <si>
    <t>Nº de participações em eventos</t>
  </si>
  <si>
    <t>Contratação</t>
  </si>
  <si>
    <t xml:space="preserve">Nº de manutenções corretivas atendidas </t>
  </si>
  <si>
    <t>Banco de dados com demandas de manutenção</t>
  </si>
  <si>
    <t>PARTICIPAÇÃO EM CONGRESSOS FÓRUNS E REUNIÕES</t>
  </si>
  <si>
    <t>SERVIÇOS DE GRÁFICA/CARIMBOS</t>
  </si>
  <si>
    <t>AQUISIÇÃO DE GÊNEROS ALIMENTÍCIOS</t>
  </si>
  <si>
    <t>AGENDA DE COMPRAS - MATERIAL DE CONSUMO</t>
  </si>
  <si>
    <t>MANUTENÇÃO/INFRAESTRUTURA</t>
  </si>
  <si>
    <t>SERVIÇO DE MANUTENÇÃO DE IMPRESSORAS</t>
  </si>
  <si>
    <t>AQUISIÇÃO DE MATERIAL PARA MANUTENÇÃO DA REDE LÓGICA E EQUIPAMENTOS</t>
  </si>
  <si>
    <t>SERVIÇO DE MANUTENÇÃO DE REDE LÓGICA/ESTRUTURAÇÃO</t>
  </si>
  <si>
    <t>FUNCIONAMENTO DAS ATIVIDADES DE BRAGANÇA</t>
  </si>
  <si>
    <t>MANUTENÇÃO DA INFRAESTRUTURA DE BRAGANÇA</t>
  </si>
  <si>
    <t>Campus de Bragança (UGR: 153554)</t>
  </si>
  <si>
    <t>VIAGENS DE CAMPO BRAGANÇA</t>
  </si>
  <si>
    <t>GESTÃO DA TECNOLOGIA DA INFORMAÇÃO DE BRAGANÇA</t>
  </si>
  <si>
    <t>Campus de Breves (UGR: 158140)</t>
  </si>
  <si>
    <t>VIAGEM PARA ENSINO, PESQUISA , EXTENSÃO E REPRESENTAÇÃO</t>
  </si>
  <si>
    <t>AUXÍLIO FINANCEIRO PARA PARTICIPAÇÃO EM EVENTO</t>
  </si>
  <si>
    <t>AQUISIÇÃO DE MATERIAIS DE CONSUMO</t>
  </si>
  <si>
    <t>CONTRATAÇÃO DE SERVIÇO PESSOA  FÍSICA</t>
  </si>
  <si>
    <t>AQUISIÇÃO DE MATERIAIS GRÁFICOS</t>
  </si>
  <si>
    <t>MANUTENÇÃO CORRETIVA E PREVENTIVA DOS VEICULOS AUTOMOTORES</t>
  </si>
  <si>
    <t>MANUTENÇÃO CORRETIVA E PREVENTIVA NOS EQUIPAMENNTOS DE REFRIGERAÇÃO</t>
  </si>
  <si>
    <t>AQUISIÇÃO MATERIAIS DE CONSUMO TI</t>
  </si>
  <si>
    <t>Campus de Cametá (UGR: 153558)</t>
  </si>
  <si>
    <t>Auxilios concedidos</t>
  </si>
  <si>
    <t>Subunidades atendidas</t>
  </si>
  <si>
    <t>Veiculos revisados</t>
  </si>
  <si>
    <t>Equipamentos revisados</t>
  </si>
  <si>
    <t>Qualificar os ambientes acadêmicos e readequação da infraestrutura</t>
  </si>
  <si>
    <t>Equipamentos manutenidos</t>
  </si>
  <si>
    <t>Manter atividades de ensino, pesquisa e extensão</t>
  </si>
  <si>
    <t>Incentivar a pesquisa e extensão</t>
  </si>
  <si>
    <t>Melhorar o funcionamento das subunidades acadêmicas e administrativas</t>
  </si>
  <si>
    <t>Atender os eventos e incentivar o desenvolvimento de ações sócio ambientais</t>
  </si>
  <si>
    <t>Realizar manutenção veicular</t>
  </si>
  <si>
    <t>Melhorar o ambiente interno do cumb</t>
  </si>
  <si>
    <t>Executar melhorias e readequação da infraestrutura</t>
  </si>
  <si>
    <t>Executar o plano anual de capacitação da unidade</t>
  </si>
  <si>
    <t>Adotar as normas do PDTI</t>
  </si>
  <si>
    <t>VIAGEM DE CAMPO - AGRONOMIA</t>
  </si>
  <si>
    <t>VIAGEM DE CAMPO - GEOGRAFIA</t>
  </si>
  <si>
    <t>VIAGEM DE CAMPO - EDUCAÇÃO DO CAMPO</t>
  </si>
  <si>
    <t>Fomentar a formação do discente numa perspectiva interdisciplinar e multidisplinar.</t>
  </si>
  <si>
    <t>Ampliar as aquisições de materiais de consumo</t>
  </si>
  <si>
    <t>Taxa de ações de descentralizações</t>
  </si>
  <si>
    <t>Otimizar o orçamento da Unidade em parceria com as Subunidades.</t>
  </si>
  <si>
    <t>Ampliar as viagens de técnicos e docentes</t>
  </si>
  <si>
    <t xml:space="preserve">Índice de espaços físicos </t>
  </si>
  <si>
    <t>Expandir a infraestrutura física, acadêmica e administrativa do Campus, de forma a garantir espaços com acessibilidade e condições de trabalho e acomodação adequados.</t>
  </si>
  <si>
    <t>Equipamento reparado</t>
  </si>
  <si>
    <t>Promover a capacitação e qualificação dos servidores técnico-administrativos e docentes</t>
  </si>
  <si>
    <t>Velocidade de Conexão</t>
  </si>
  <si>
    <t>Aumentar o link de internet, a fim de suprir as necessidades do Campus e disponibilizar o acesso a internet aos polos.</t>
  </si>
  <si>
    <t>MANUTENÇÃO DA FROTA DE VEÍCULOS</t>
  </si>
  <si>
    <t>VIAGENS DE MOTORISTAS TERCEIRIZADOS</t>
  </si>
  <si>
    <t>PARTICIPAÇÃO EM CONGRESSOS, SEMINÁRIOS, FÓRUNS E REUNIÕES</t>
  </si>
  <si>
    <t>MANUTENÇÃO DE REDE LÓGICA</t>
  </si>
  <si>
    <t>Campus de Capanema (UGR: 150051)</t>
  </si>
  <si>
    <t>MANUTENÇÃO DA FROTA DO CAMPUS</t>
  </si>
  <si>
    <t>DESPESA COM DIARIAS PARA , TECNICOS ADMINISTRATIVOS E COORDENADORES DE CAMPI, EM AÇÕES OPERACIONAIS, PALESTRAS, REUNIÕES E TREINAMENTO INSTITUCIONAL</t>
  </si>
  <si>
    <t>AGENDA DE COMPRAS</t>
  </si>
  <si>
    <t>MANUTENÇÃO DOS EQUIPAMENTOS NAS DEPENDENCIAS DO CAMPUS</t>
  </si>
  <si>
    <t>MANUTENÇÃO DOS ESPAÇOS ADMINISTRATIVOS.</t>
  </si>
  <si>
    <t>MANUTENÇÃO DAS SALAS DE AULA</t>
  </si>
  <si>
    <t>MANUTENÇÃO DOS LABORATORIOS DE INFORMATICA</t>
  </si>
  <si>
    <t>AQUISIÇÃO DE MATERIAL TI</t>
  </si>
  <si>
    <t>Índice de difusão de conhecimentos técnicos
conhecimentos
técnicos</t>
  </si>
  <si>
    <t>Veiculo</t>
  </si>
  <si>
    <t>Participação em eventos</t>
  </si>
  <si>
    <t>Numero de itens adquiridos</t>
  </si>
  <si>
    <t>Gabinetes administrativos</t>
  </si>
  <si>
    <t>Sala de aula</t>
  </si>
  <si>
    <t>Laboratorios atendidos</t>
  </si>
  <si>
    <t>Prover infraestrutura basica para as atividades administrativas</t>
  </si>
  <si>
    <t>Melhorar a governança dos processos internos</t>
  </si>
  <si>
    <t>Prover infraestrutura basica para as atividades academicas</t>
  </si>
  <si>
    <t>Assegurar os sistemas basicos</t>
  </si>
  <si>
    <t>Suporte para atividades academicas</t>
  </si>
  <si>
    <t>Campus de Castanhal (UGR: 153555)</t>
  </si>
  <si>
    <t>VIAGEM DE CAMPO (FACULDADE DE MEDICINA VETERINÁRIA)</t>
  </si>
  <si>
    <t>PARTICIPAÇÃO DE SERVIDORES EM REUNIÕES ADMINISTRATIVAS</t>
  </si>
  <si>
    <t xml:space="preserve">PARTICIPAÇÃO DE DISCENTES EM EVENTOS </t>
  </si>
  <si>
    <t>AQUISIÇÃO DE MATERIAL DE CONSUMO DE USO COMUM</t>
  </si>
  <si>
    <t xml:space="preserve">LICITAÇÃO PARA COMPRAS DIVERSAS </t>
  </si>
  <si>
    <t>MANUTENÇÃO HIDROSSANITÁRIA DA UNIDADE</t>
  </si>
  <si>
    <t>Discentes atendidos</t>
  </si>
  <si>
    <t>Nº de projetos atendidos</t>
  </si>
  <si>
    <t>Nº de licitações</t>
  </si>
  <si>
    <t>Sserviços Atendidos</t>
  </si>
  <si>
    <t>Incentivar ações de ensino, pesquisa e extensão que contemplem a interdisciplinaridade</t>
  </si>
  <si>
    <t>Melhorar e fortalecer a governança dos processos internos</t>
  </si>
  <si>
    <t>Oportunizar as ações integradoras das coordenações de ensino, pesquisa e extensão através de eventos</t>
  </si>
  <si>
    <t>Fomentar a elaboração de projetos de ensino, pesquisa e extensão</t>
  </si>
  <si>
    <t>Proporcionar segurança nos deslocamentos</t>
  </si>
  <si>
    <t>Efetuar a conformidade nos processos de compras</t>
  </si>
  <si>
    <t>Capacitar os serviodres da unidade</t>
  </si>
  <si>
    <t>Processo de substituição dos materiais de ti da unidade</t>
  </si>
  <si>
    <t>Campus de Salinópolis (UGR: 152366)</t>
  </si>
  <si>
    <t>MANUTENÇÃO DO VEÍCULO OFICIAL</t>
  </si>
  <si>
    <t>FORNECIMENTO DE AGUA MINERAL</t>
  </si>
  <si>
    <t>PARTICIPAÇÃO EM REUNIÕES</t>
  </si>
  <si>
    <t>MANUTENÇÃO DO SISTEMA DE CLIMATIZAÇÃO</t>
  </si>
  <si>
    <t>AQUISIÇÃO DE MATERIAL DE CONSUMO DE INFORMATICA</t>
  </si>
  <si>
    <t>MANUTNEÇÃO DE REDE LÓGICA</t>
  </si>
  <si>
    <t>Serviços preventivo</t>
  </si>
  <si>
    <t>Participação de servidor</t>
  </si>
  <si>
    <t>Garrafões consumidos</t>
  </si>
  <si>
    <t>Espaço fisico recuperado</t>
  </si>
  <si>
    <t>Prover os deslocamentos em atividades  administrativas e acadêmicas</t>
  </si>
  <si>
    <t>Participação nos conselhos superiores e outros</t>
  </si>
  <si>
    <t>Para prover serviços acadêmicos e administrativos</t>
  </si>
  <si>
    <t>Manter os serviços administrativos e acadêmicos</t>
  </si>
  <si>
    <t>Promover o desenvolvimento dos servidores docentes e tecnicos</t>
  </si>
  <si>
    <t>Ampliar a aquisição de materiais para prover serviços</t>
  </si>
  <si>
    <t>Manter o serviço de internet</t>
  </si>
  <si>
    <t>Campus de Soure (UGR: 153556)</t>
  </si>
  <si>
    <t>Participação em Eventos</t>
  </si>
  <si>
    <t>Fixar discentes nos cursos</t>
  </si>
  <si>
    <t>Aquisições realizadas</t>
  </si>
  <si>
    <t>Promover apoio acadêmico e administrativo</t>
  </si>
  <si>
    <t>Espaços Físicos</t>
  </si>
  <si>
    <t>Reformar prédio do Campus</t>
  </si>
  <si>
    <t>Nº de Equipamentos</t>
  </si>
  <si>
    <t>Manter infraestrutura adequada para as ações acadêmicas e administrativas</t>
  </si>
  <si>
    <t>Promover desenvolvimentos dos TA's e Docentes</t>
  </si>
  <si>
    <t>Aquisições realizadas na área de TI</t>
  </si>
  <si>
    <t>Oferecer condições adequadas para as ações acadêmicas e administrativas</t>
  </si>
  <si>
    <t>PARTICIPAÇÃO DA GESTÃO ADMINISTRATIVA EM EVENTOS E REUNIÕES</t>
  </si>
  <si>
    <t>PAGAMENTO DE BOLSISTAS</t>
  </si>
  <si>
    <t>AQUISIÇÃO DE MATERIAIS</t>
  </si>
  <si>
    <t>MANUTENÇÃO DE AR CONDICIONADO</t>
  </si>
  <si>
    <t>AQUISIÇÃO DE SUPRIMENTOS DE INFORMÁTICA</t>
  </si>
  <si>
    <t>Campus de Tucuruí (UGR: 150104)</t>
  </si>
  <si>
    <t>AUXILIO FINANCEIRO AO ESTUDANTE</t>
  </si>
  <si>
    <t>FUNCIONAMENTO DAS ATIVIDADES DE TUCURUÍ</t>
  </si>
  <si>
    <t>MANUTENÇÃO DE APARELHOS DE AR CONDICIONADO</t>
  </si>
  <si>
    <t>RECARGA DE EXTINTORES</t>
  </si>
  <si>
    <t>MANUTENÇÃO DE IMPRESSORAS E  NOBREAKS</t>
  </si>
  <si>
    <t>GESTÃO DA TECNOLOGIA DA INFORMAÇÃO DE TUCURUÍ</t>
  </si>
  <si>
    <t>Promover ações de apoio  a apresentação de artigos, visitas técnicas e participação em competições</t>
  </si>
  <si>
    <t>Elaborar e executar o Plano de Manutenção do Campus.</t>
  </si>
  <si>
    <t>Equipamento recarregado</t>
  </si>
  <si>
    <t>Incentivar os Técnicos e Docentes para capacitação em gestão.</t>
  </si>
  <si>
    <t>Equipamento consertado</t>
  </si>
  <si>
    <t>CRÉDITO CONDICIONADO</t>
  </si>
  <si>
    <t>07</t>
  </si>
  <si>
    <t>Manutenção das Atividades nas Unidades Acadêmicas e Regionais</t>
  </si>
  <si>
    <t>Educação Básica</t>
  </si>
  <si>
    <t>Matriz Hospitais Veterinários</t>
  </si>
  <si>
    <t>FUNCIONAMENTO DAS ATIVIDADES DO NEAP</t>
  </si>
  <si>
    <t>MANUTENÇÃO DA INFRAESTRUTURA DO NEAP</t>
  </si>
  <si>
    <t>Núcleo de Ecologia Aquática e Pesca da Amazônia - NEAP (UGR: 156611)</t>
  </si>
  <si>
    <t>GESTÃO DA TECNOLOGIA DA INFORMAÇÃO DO NEAP</t>
  </si>
  <si>
    <t>Viagem de Campo</t>
  </si>
  <si>
    <t>AREAS DE ATUAÇÃO</t>
  </si>
  <si>
    <t>PLANO DE GESTÃO ORÇAMENTÁRIA - CONSOLIDAÇÃO POR UNIDADES E PROGRAMAS - EXERCÍCIO 2020</t>
  </si>
  <si>
    <t>AÇÕES ESTRATÉGICAS - AÇÃO 8282 - CAPITAL</t>
  </si>
  <si>
    <t>GESTOR</t>
  </si>
  <si>
    <t>PREFCAMPUS</t>
  </si>
  <si>
    <t>SERVIÇOS ESPECIALIZADOS EM PROJETOS EXECUTIVOS/COMPLEMENTARES</t>
  </si>
  <si>
    <t>GESTÃO DE CONTRATOS</t>
  </si>
  <si>
    <t>M07ACG1917N</t>
  </si>
  <si>
    <t>G17AAF1902N</t>
  </si>
  <si>
    <t>G17AEF6017N</t>
  </si>
  <si>
    <t>G17ADF3518N</t>
  </si>
  <si>
    <t>M20AAG3518N</t>
  </si>
  <si>
    <t>O20ABO3518N</t>
  </si>
  <si>
    <t>L15AAP1901N</t>
  </si>
  <si>
    <t>L31AAP2301N</t>
  </si>
  <si>
    <t>L30AAP2301N</t>
  </si>
  <si>
    <t>M07AAG1901N</t>
  </si>
  <si>
    <t>M07ACG1913N</t>
  </si>
  <si>
    <t>M07ADG1917N</t>
  </si>
  <si>
    <t>L30ABP2301N</t>
  </si>
  <si>
    <t>L31ABP2301N</t>
  </si>
  <si>
    <t>M13AAG5615N</t>
  </si>
  <si>
    <t>O13ABO5615N</t>
  </si>
  <si>
    <t>M07ABG5501N</t>
  </si>
  <si>
    <t>L15AEP6017N</t>
  </si>
  <si>
    <t>L15ABP1913N</t>
  </si>
  <si>
    <t>L15ACP1917N</t>
  </si>
  <si>
    <t>L15ADP1918N</t>
  </si>
  <si>
    <t>M25AEG7117N</t>
  </si>
  <si>
    <t>M25ADG7117N</t>
  </si>
  <si>
    <t>M25ACG7113N</t>
  </si>
  <si>
    <t>M25AAG7101N</t>
  </si>
  <si>
    <t>VIAGEM  DE SERVIDOR NO INTERESSE INSTITUCIONAL</t>
  </si>
  <si>
    <t>O07AEO1901N</t>
  </si>
  <si>
    <t>O07AGO1913N</t>
  </si>
  <si>
    <t>O07AHO1917N</t>
  </si>
  <si>
    <t>O07AFO5501N</t>
  </si>
  <si>
    <t>Biblioteca Central</t>
  </si>
  <si>
    <t>Programa UFPA: 06 - Viagem de Campo</t>
  </si>
  <si>
    <t>M06AAG1902N</t>
  </si>
  <si>
    <t>M06ABG1902N</t>
  </si>
  <si>
    <t>M06ACG1902N</t>
  </si>
  <si>
    <t>M06ADG1902N</t>
  </si>
  <si>
    <t>M06AEG1902N</t>
  </si>
  <si>
    <t>M06AFG1902N</t>
  </si>
  <si>
    <t>M06AGG1902N</t>
  </si>
  <si>
    <t>M06AHG1902N</t>
  </si>
  <si>
    <t>M06AIG1902N</t>
  </si>
  <si>
    <t>M06AJG1902N</t>
  </si>
  <si>
    <t>M06AKG1902N</t>
  </si>
  <si>
    <t>M06ALG1902N</t>
  </si>
  <si>
    <t>M06AMG1902N</t>
  </si>
  <si>
    <t>M06ANG1902N</t>
  </si>
  <si>
    <t>M06AOG1902N</t>
  </si>
  <si>
    <t>M06APG1902N</t>
  </si>
  <si>
    <t>M06AQG1902N</t>
  </si>
  <si>
    <t>M06ARG1902N</t>
  </si>
  <si>
    <t>M06ASG1902N</t>
  </si>
  <si>
    <t>M06ATG1902N</t>
  </si>
  <si>
    <t>M06AUG1902N</t>
  </si>
  <si>
    <t>169711</t>
  </si>
  <si>
    <t>169716</t>
  </si>
  <si>
    <t>06</t>
  </si>
  <si>
    <t>M06AVG1902N</t>
  </si>
  <si>
    <t>MANUTENÇÃO PREDIAL DA PROGEP</t>
  </si>
  <si>
    <t>Programa UFPA: 11 - Programas Institucionais</t>
  </si>
  <si>
    <t xml:space="preserve">FUNCIONAMENTO DA PROGEP 
</t>
  </si>
  <si>
    <t>MANUTENÇÃO ELETRICA DA PROGEP</t>
  </si>
  <si>
    <t>MANUTENÇÃO DE REFRIGERAÇÃO PROGEP</t>
  </si>
  <si>
    <t>MANUTENÇÃO DE SERVIÇOS DO SISTEMA DE TELEFONIA</t>
  </si>
  <si>
    <t>CAPACITAÇÃO DOS SERVIDORES DA UFPA</t>
  </si>
  <si>
    <t>AÇÕES DE DESENVOLVIMENTO PROGEP</t>
  </si>
  <si>
    <t>TURMAS DE QUALIFICAÇÃO PARA SERVIDORES DA UFPA</t>
  </si>
  <si>
    <t>AUXÍLIO À QUALIFICAÇÃO (PROQUALI)</t>
  </si>
  <si>
    <t>AÇÕES NOS CAMPI</t>
  </si>
  <si>
    <t>MANUTENÇÃO E EXPANSÃO DA INFRA-ESTRUTURA DA REDE ÓTICA E LÓGICA DA PROGEP</t>
  </si>
  <si>
    <t>M0190G0101N</t>
  </si>
  <si>
    <t>M20ACG3518N</t>
  </si>
  <si>
    <t>M20ADG3518N</t>
  </si>
  <si>
    <t>M20AEG3518N</t>
  </si>
  <si>
    <t>M20AFG3518N</t>
  </si>
  <si>
    <t>M20AGG3518N</t>
  </si>
  <si>
    <t>M13ACG5615N</t>
  </si>
  <si>
    <t>CAPACITAÇÃO DE SERVIDORES DA PREFEITURA</t>
  </si>
  <si>
    <t>M13ADG5615N</t>
  </si>
  <si>
    <t>M01AJG0113N</t>
  </si>
  <si>
    <t>M01AKG0113N</t>
  </si>
  <si>
    <t>M01ALG0117N</t>
  </si>
  <si>
    <t>M11AAG0101N</t>
  </si>
  <si>
    <t>M13AFG5615N</t>
  </si>
  <si>
    <t>M13AGG5615N</t>
  </si>
  <si>
    <t>M13AHG5615N</t>
  </si>
  <si>
    <t>M13AIG5615N</t>
  </si>
  <si>
    <t>M13AJG5615N</t>
  </si>
  <si>
    <t>M20AHG3518N</t>
  </si>
  <si>
    <t>ATIVIDADES ADMINISTRATIVAS - PROEG</t>
  </si>
  <si>
    <t>M13AKG5615N</t>
  </si>
  <si>
    <t>M01AMG0113N</t>
  </si>
  <si>
    <t>M11ABG0101N</t>
  </si>
  <si>
    <t>COORD. DE EDUCAÇÃO BASICA E PROFISSIONAL - DIDEN</t>
  </si>
  <si>
    <t>PRATICAS PEDAGOGICAS E POLITICAS DE INCLUSÃO - DADD</t>
  </si>
  <si>
    <t>APOIO E MANUTENÇÃO DE ESPAÇOS DE ENSINO</t>
  </si>
  <si>
    <t>ORIENTAÇÃO E APOIO AOS DISCENTES - DADD</t>
  </si>
  <si>
    <t>RECEPÇÃO DOS CALOUROS - CADIS</t>
  </si>
  <si>
    <t>AMPLIAÇÃO DOS CAMPOS DE ESTAGIO - CADIS</t>
  </si>
  <si>
    <t>AUXILIO FINANCEIRO A ESTUDANTE - PET - DADD</t>
  </si>
  <si>
    <t>BOLSAS DE MONITORIA - ASSISTENCIAL</t>
  </si>
  <si>
    <t>M02BSG1917N</t>
  </si>
  <si>
    <t>M02BTG1906N</t>
  </si>
  <si>
    <t>M02BUG1906N</t>
  </si>
  <si>
    <t>M02BVG1906N</t>
  </si>
  <si>
    <t>M02BWG5506N</t>
  </si>
  <si>
    <t>M13ALG5615N</t>
  </si>
  <si>
    <t>M13AMG5615N</t>
  </si>
  <si>
    <t>M13ANG5615N</t>
  </si>
  <si>
    <t>M13AOG5615N</t>
  </si>
  <si>
    <t>M13APG5615N</t>
  </si>
  <si>
    <t>PRÊMIO PROEX DE ARTE E CULTURA 2020</t>
  </si>
  <si>
    <t>APOIO À AÇÕES DE EXTENSÃO UNIVERSITÁRIA</t>
  </si>
  <si>
    <t>M08AAG2107N</t>
  </si>
  <si>
    <t>M13AQG5615N</t>
  </si>
  <si>
    <t>M34ABG5501N</t>
  </si>
  <si>
    <t>M34ACG5501N</t>
  </si>
  <si>
    <t>M34ADG5501N</t>
  </si>
  <si>
    <t>M34AEG5501N</t>
  </si>
  <si>
    <t>M34AFG5501N</t>
  </si>
  <si>
    <t>M34AAG5501N</t>
  </si>
  <si>
    <t>M13ARG5615N</t>
  </si>
  <si>
    <t>SERVIÇOS DE MANUTENÇÃO</t>
  </si>
  <si>
    <t>ATIVIDADES ADMINISTRATIVAS</t>
  </si>
  <si>
    <t>CAPACITAÇÃO DE SERVIDORES - SAEST</t>
  </si>
  <si>
    <t>DESP.DE FUNC.DO RESTAURANTE UNIVERSITARIO - CASTANHAL</t>
  </si>
  <si>
    <t>AUXÍLIO ACADÊMICO INTERVALAR</t>
  </si>
  <si>
    <t>AUXILIO PERMANÊNCIA - MORADIA</t>
  </si>
  <si>
    <t>AUXILIO PERMANÊNCIA - MORADIA (EMERGENCIAL)</t>
  </si>
  <si>
    <t>AUXILIO PERMANÊNCIA</t>
  </si>
  <si>
    <t>AUXILIO PERMANÊNCIA (EMERGENCIAL)</t>
  </si>
  <si>
    <t>AUXILIO CURSOS LIVRES - PROLINGUAS</t>
  </si>
  <si>
    <t>AUXILIO - CASA DE ESTUDANTE</t>
  </si>
  <si>
    <t>AUXILIO ATIVIDADE ACADÊMICA</t>
  </si>
  <si>
    <t>AUXILIO ACADÊMICO DE ACESSIBILIDADE</t>
  </si>
  <si>
    <t>M01ANG0113N</t>
  </si>
  <si>
    <t>M01APG0113N</t>
  </si>
  <si>
    <t>M13ASG5615N</t>
  </si>
  <si>
    <t>M19AAG2301N</t>
  </si>
  <si>
    <t>M34AGG5501N</t>
  </si>
  <si>
    <t>M34AHG5501N</t>
  </si>
  <si>
    <t>M34AIG5501N</t>
  </si>
  <si>
    <t>M34AJG5501N</t>
  </si>
  <si>
    <t>M34AKG5501N</t>
  </si>
  <si>
    <t>M34ALG5501N</t>
  </si>
  <si>
    <t>M34AMG5501N</t>
  </si>
  <si>
    <t>M34ANG5501N</t>
  </si>
  <si>
    <t>M34AOG5501N</t>
  </si>
  <si>
    <t>M34APG5501N</t>
  </si>
  <si>
    <t>M34AQG5501N</t>
  </si>
  <si>
    <t>M34ARG5501N</t>
  </si>
  <si>
    <t>M34ASG5501N</t>
  </si>
  <si>
    <t>M34ATG5501N</t>
  </si>
  <si>
    <t>AGÊNCIA DE INOVAÇÃO</t>
  </si>
  <si>
    <t>M01AZG0113N</t>
  </si>
  <si>
    <t>M11ACG0101N</t>
  </si>
  <si>
    <t>M11ADG0101N</t>
  </si>
  <si>
    <t>M11AEG0101N</t>
  </si>
  <si>
    <t>M13AZG5615N</t>
  </si>
  <si>
    <t>APOIO AS ATIVIDADES MULTICAMPI</t>
  </si>
  <si>
    <t>GESTÃO DE CONTRATOS - UGR: 156672</t>
  </si>
  <si>
    <t>M01AVG0113N</t>
  </si>
  <si>
    <t>M11AFG0101N</t>
  </si>
  <si>
    <t>M01AQG8204N</t>
  </si>
  <si>
    <t>M01ARG8213N</t>
  </si>
  <si>
    <t>PROGRAMA DE GESTÃO ADMINISTRATIVA - PGA</t>
  </si>
  <si>
    <t>M01AOG0117N</t>
  </si>
  <si>
    <t>M01ASG0113N</t>
  </si>
  <si>
    <t>PROGRAMA DE APOIO À QUALIFICAÇÃO DE SERVIDORES DOCENTES E TÉCNICOS-ADMINISTRATIVOS - PADT</t>
  </si>
  <si>
    <t>PROGRAMA DE APOIO À MANUTENÇÃO DE EQUIPAMENTOS DE PESQUISA - PAMEP</t>
  </si>
  <si>
    <t>PROGRAMA DE APOIO À REALIZAÇÃO DE EVENTOS - PAEV</t>
  </si>
  <si>
    <t>PROGRAMA DE APOIO À COOPERAÇÃO INTERINSTITUCIONAL - PACI</t>
  </si>
  <si>
    <t>O10AAO9403N</t>
  </si>
  <si>
    <t>O10ABO9408N</t>
  </si>
  <si>
    <t>PROGRAMA DE APOIO À PUBLICAÇÃO QUALIFICADA - PAPQ</t>
  </si>
  <si>
    <t>O10ACO9403N</t>
  </si>
  <si>
    <t>PROGRAMA DE APOIO À PARTICIPAÇÃO DE DISCENTES EM EVENTOS - PRODISCENTE</t>
  </si>
  <si>
    <t>O10ADO9403N</t>
  </si>
  <si>
    <t>PROGRAMA DE APOIO À COOPERAÇÃO NACIONAL - PACON</t>
  </si>
  <si>
    <t>O10AEO9403N</t>
  </si>
  <si>
    <t>O10AFO9403N</t>
  </si>
  <si>
    <t>O10AGO9403N</t>
  </si>
  <si>
    <t>PROGRAMA DE APOIO A AÇÕES ESTRATÉGICAS EM PESQUISA E PÓS-GRADUAÇÃO - PAEPP</t>
  </si>
  <si>
    <t>PROGRAMA DE ACOMPANHAMENTO DA PÓS-GRADUAÇÃO - PAPG</t>
  </si>
  <si>
    <t>M11AGG0101N</t>
  </si>
  <si>
    <t>M11AHG0101N</t>
  </si>
  <si>
    <t>M13ATG5615N</t>
  </si>
  <si>
    <t>PROGRAMA DE BOLSAS DE INICIAÇÃO CIENTIFICA AÇÕES AFIRMATIVAS - PIBIC AF</t>
  </si>
  <si>
    <t>M34AUG5501N</t>
  </si>
  <si>
    <t>PROGRAMA INTERINSTITUCIONAL DE APOIO A PRODUÇÃO ACADÊMICA - PIAPA INTERNACIONAL</t>
  </si>
  <si>
    <t>O23AAO2003N</t>
  </si>
  <si>
    <t>PROGRAMA DE BOLSAS IC PARA EDUCAÇÃO BÁSICA, TÉCNICA E TECNOLOGICA - PIBIC EBTT</t>
  </si>
  <si>
    <t>Q23AGO2003N</t>
  </si>
  <si>
    <t>PROGRAMA INTERINSTITUCIONAL DE APOIO A PRODUÇÃO ACADÊMICA - PIAPA NACIONAL</t>
  </si>
  <si>
    <t>PROGRAMA DE APOIO A ESTÁGIO DE VERÃO - PIBIC VERÃO</t>
  </si>
  <si>
    <t>O23ABO2003N</t>
  </si>
  <si>
    <t>O23ACO2003N</t>
  </si>
  <si>
    <t>PROGRAMA GLOBAL DE INICIAÇÃO CIENTIFICA - PIBIC UFPA</t>
  </si>
  <si>
    <t>O23ADO2003N</t>
  </si>
  <si>
    <t>PROGRAMA DE INICIAÇÃO CIENTIFICA UFPA/INTERIOR - PIBIC INTERIOR</t>
  </si>
  <si>
    <t>O23AEO2003N</t>
  </si>
  <si>
    <t>PROGRAMA DE BOLSAS DE INICIAÇÃO CIENTIFICA AÇÕES AFIRMATIVAS - PIBIC AF - 20RK</t>
  </si>
  <si>
    <t>O23AFO2003N</t>
  </si>
  <si>
    <t>PROGRAMA DE BOLSAS DE INICIAÇÃO CIENTIFICA PRODOUTOR - PIBIC PRODOUTOR</t>
  </si>
  <si>
    <t>O23AHO2003N</t>
  </si>
  <si>
    <t>SEMINÁRIO DE INICIAÇÃO CIENTIFICA - SEMINIC</t>
  </si>
  <si>
    <t>O23AIO2003N</t>
  </si>
  <si>
    <t>M01ATG6213N</t>
  </si>
  <si>
    <t>PRÊMIO PROEX DE LITERATURA 2020</t>
  </si>
  <si>
    <t>M13AUG5615N</t>
  </si>
  <si>
    <t>M13AWG5615N</t>
  </si>
  <si>
    <t>M13AVG5615N</t>
  </si>
  <si>
    <t>M20AIG3518N</t>
  </si>
  <si>
    <t>M20AJG3518N</t>
  </si>
  <si>
    <t>M20AKG3518N</t>
  </si>
  <si>
    <t>M20ALG3518N</t>
  </si>
  <si>
    <t>CAPACITAÇÃO DE SERVIDORES - CIAC</t>
  </si>
  <si>
    <t>M01AUG0117N</t>
  </si>
  <si>
    <t>M01AWG0113N</t>
  </si>
  <si>
    <t>M01AYG0113N</t>
  </si>
  <si>
    <t>M13AXG5615N</t>
  </si>
  <si>
    <t>PROGRAMAS INSTITUCIONAIS</t>
  </si>
  <si>
    <t>11</t>
  </si>
  <si>
    <t xml:space="preserve">CONTRIBUIÇÕES E ANUIDADES </t>
  </si>
  <si>
    <t>Programas Institucionais</t>
  </si>
  <si>
    <t>169713</t>
  </si>
  <si>
    <t>169707</t>
  </si>
  <si>
    <t>169708</t>
  </si>
  <si>
    <t>169709</t>
  </si>
  <si>
    <t>169710</t>
  </si>
  <si>
    <t>169712</t>
  </si>
  <si>
    <t>169714</t>
  </si>
  <si>
    <t>169715</t>
  </si>
  <si>
    <t>AJUDA DE CUSTO PARA MORADIA - EMENDA DE RELATOR</t>
  </si>
  <si>
    <r>
      <t>AJUDA DE CUSTO PARA MORADIA - EMENDA DE RELATOR</t>
    </r>
    <r>
      <rPr>
        <vertAlign val="superscript"/>
        <sz val="28"/>
        <rFont val="Bookman Old Style"/>
        <family val="1"/>
      </rPr>
      <t>2</t>
    </r>
  </si>
  <si>
    <r>
      <t>CRÉDITO CONDICIONADO</t>
    </r>
    <r>
      <rPr>
        <b/>
        <vertAlign val="superscript"/>
        <sz val="28"/>
        <rFont val="Bookman Old Style"/>
        <family val="1"/>
      </rPr>
      <t>1</t>
    </r>
  </si>
  <si>
    <t>1 - Programações Condicionadas à Aprovação Legislativa prevista no inciso III do art. 167 da Constituição.</t>
  </si>
  <si>
    <t>2 - Crédito Condicionado à liberação de limite de empenho da Emenda de Relator.</t>
  </si>
  <si>
    <t>EMENDA DE RELATOR</t>
  </si>
  <si>
    <t>TOTAL S/ EMENDA DE RELATOR</t>
  </si>
  <si>
    <t>TOTAL C/ EMENDA DE RELATOR</t>
  </si>
  <si>
    <t>CAPACITAÇÃO DE SERVIDORES - EMENDA DE RELATOR</t>
  </si>
  <si>
    <t>CONTRIBUIÇÕES A ORGANISMOS INTERNACIONAIS - EMENDA DE RELATOR</t>
  </si>
  <si>
    <t>CONTRIBUIÇÕES E ANUIDADES -EMENDA DE RELATOR</t>
  </si>
  <si>
    <t>Educação Básica - Emenda de Relator</t>
  </si>
  <si>
    <t>MANUTENÇÃO DA ESCOLA DE MÚSICA - ETDUFPA</t>
  </si>
  <si>
    <t>Educação Profissional - Emenda de Relator</t>
  </si>
  <si>
    <t>Assistência ao Educando do Ensino Técnico - Emenda de Relator</t>
  </si>
  <si>
    <t>INGLÊS SEM FRONTEIRAS - EMENDA DE RELATOR</t>
  </si>
  <si>
    <t xml:space="preserve">INGLÊS SEM FRONTEIRAS </t>
  </si>
  <si>
    <t>Fomento às Ações de Ensino Pesquisa e Extensão - EMENDA DE RELATOR</t>
  </si>
  <si>
    <t>PROGRAMAS INSTITUCIONAIS - EMENDAS DE RELATOR</t>
  </si>
  <si>
    <t>Matriz Hospitais Veterinários - Emenda de Relator</t>
  </si>
  <si>
    <t>ASSISTÊNCIA ESTUDANTIL - EMENDA DE RELATOR</t>
  </si>
  <si>
    <t>ASSISTÊNCIA ESTUDANTIL - AUX. FIN AO ESTUDANTE - EMENDA DE RELATOR</t>
  </si>
  <si>
    <r>
      <t>AQUISIÇÃO DE EQUIPAMENTOS - CAPITAL - Emenda de Relator</t>
    </r>
    <r>
      <rPr>
        <vertAlign val="superscript"/>
        <sz val="28"/>
        <color rgb="FFFF0000"/>
        <rFont val="Bookman Old Style"/>
        <family val="1"/>
      </rPr>
      <t>2</t>
    </r>
  </si>
  <si>
    <r>
      <t>AQUISIÇÃO DE MATERIAL LABORATORIAL - Emenda de Relator</t>
    </r>
    <r>
      <rPr>
        <vertAlign val="superscript"/>
        <sz val="28"/>
        <rFont val="Bookman Old Style"/>
        <family val="1"/>
      </rPr>
      <t>2</t>
    </r>
  </si>
  <si>
    <r>
      <t>Auxílios do Programa de Assistência ao Educando do Ensino Técnico - Assistência Estudantil EPT - ETDUFPA - EMENDA DE RELATOR</t>
    </r>
    <r>
      <rPr>
        <vertAlign val="superscript"/>
        <sz val="28"/>
        <rFont val="Bookman Old Style"/>
        <family val="1"/>
      </rPr>
      <t>2</t>
    </r>
  </si>
  <si>
    <r>
      <t>AQUISIÇÃO DE BENS PERMANENTES PARA CONTINUIDADE DAS ATIVIDADES DA ETDUFPA - CAPITAL - EMENDA DE RELATOR</t>
    </r>
    <r>
      <rPr>
        <vertAlign val="superscript"/>
        <sz val="28"/>
        <color rgb="FFFF0000"/>
        <rFont val="Bookman Old Style"/>
        <family val="1"/>
      </rPr>
      <t>2</t>
    </r>
  </si>
  <si>
    <r>
      <t>MANUTENÇÃO DOS PRÉDIOS DE SALAS DE AULA E SALAS ADMINISTRATIVAS DA ETDUFPA - EMENDA DE RELATOR</t>
    </r>
    <r>
      <rPr>
        <vertAlign val="superscript"/>
        <sz val="28"/>
        <rFont val="Bookman Old Style"/>
        <family val="1"/>
      </rPr>
      <t>2</t>
    </r>
  </si>
  <si>
    <r>
      <t>AUXÍLIOS DO PROGRAMA DE ASSISTÊNCIA AO EDUCANDO DO ENSINO TÉCNICO - ASSISTÊNCIA ESTUDANTIL EPT - EMUFPA - EMENDA DE RELATOR</t>
    </r>
    <r>
      <rPr>
        <vertAlign val="superscript"/>
        <sz val="28"/>
        <rFont val="Bookman Old Style"/>
        <family val="1"/>
      </rPr>
      <t>2</t>
    </r>
  </si>
  <si>
    <r>
      <t>AQUISIÇÃO DE BENS PERMANENTES PARA CONTINUIDADE DAS ATIVIDADES DA ESCOLA DE MÚSICA - CAPITAL - EMENDA DE RELATOR</t>
    </r>
    <r>
      <rPr>
        <vertAlign val="superscript"/>
        <sz val="28"/>
        <color rgb="FFFF0000"/>
        <rFont val="Bookman Old Style"/>
        <family val="1"/>
      </rPr>
      <t>2</t>
    </r>
  </si>
  <si>
    <r>
      <t>MANUTENÇÃO DOS PRÉDIOS DE SALAS DE AULA E SALAS ADMINISTRATIVAS DA ESCOLA DE MÚSICA - EMENDA DE RELATOR</t>
    </r>
    <r>
      <rPr>
        <vertAlign val="superscript"/>
        <sz val="28"/>
        <rFont val="Bookman Old Style"/>
        <family val="1"/>
      </rPr>
      <t>2</t>
    </r>
  </si>
  <si>
    <r>
      <t>FUNCIONAMENTO DA ESCOLA DE APLICAÇÃO - CUSTEIO - EMENDA DE RELATOR</t>
    </r>
    <r>
      <rPr>
        <vertAlign val="superscript"/>
        <sz val="28"/>
        <rFont val="Bookman Old Style"/>
        <family val="1"/>
      </rPr>
      <t>2</t>
    </r>
  </si>
  <si>
    <r>
      <t>FUNCIONAMENTO DA ESCOLA DE APLICAÇÃO - CAPITAL - EMENDA DE RELATOR</t>
    </r>
    <r>
      <rPr>
        <vertAlign val="superscript"/>
        <sz val="28"/>
        <color rgb="FFFF0000"/>
        <rFont val="Bookman Old Style"/>
        <family val="1"/>
      </rPr>
      <t>2</t>
    </r>
  </si>
  <si>
    <t>PGO 2019</t>
  </si>
  <si>
    <t>DIFERENÇA</t>
  </si>
  <si>
    <t>RESUMO DAS UNIDADES ADMINISTRATIVAS POR PROGRAMA UFPA</t>
  </si>
  <si>
    <t>TOTAL - UNIDADES ADMINISTRATIVAS - GESTÃO DE CONTRATOS</t>
  </si>
  <si>
    <r>
      <t>TURMAS DE QUALIFICAÇÃO PARA SERVIDORES DA UFPA - EMENDA DE RELATOR</t>
    </r>
    <r>
      <rPr>
        <vertAlign val="superscript"/>
        <sz val="28"/>
        <rFont val="Bookman Old Style"/>
        <family val="1"/>
      </rPr>
      <t>2</t>
    </r>
  </si>
  <si>
    <r>
      <t>CONTRATO DE PRESTAÇÃO DE SERVIÇOS AUXILIARES AO RU - EMENDA DE RELATOR</t>
    </r>
    <r>
      <rPr>
        <vertAlign val="superscript"/>
        <sz val="28"/>
        <rFont val="Bookman Old Style"/>
        <family val="1"/>
      </rPr>
      <t>2</t>
    </r>
  </si>
  <si>
    <r>
      <t>AUXILIO PERMANÊNCIA - EMENDA DE RELATOR</t>
    </r>
    <r>
      <rPr>
        <vertAlign val="superscript"/>
        <sz val="28"/>
        <rFont val="Bookman Old Style"/>
        <family val="1"/>
      </rPr>
      <t>2</t>
    </r>
  </si>
  <si>
    <r>
      <t>INCLUIR - EMENDA DE RELATOR</t>
    </r>
    <r>
      <rPr>
        <vertAlign val="superscript"/>
        <sz val="28"/>
        <rFont val="Bookman Old Style"/>
        <family val="1"/>
      </rPr>
      <t>2</t>
    </r>
  </si>
  <si>
    <t>RESUMO DAS UNIDADES ACADÊMICAS POR PROGRAMA UFPA</t>
  </si>
  <si>
    <t>26000 - MINISTÉRIO DA EDUCAÇÃO - MEC</t>
  </si>
  <si>
    <t>12.368.5011.20RI.0015 - FUNCIONAMENTO DAS INSTITUIÇÕES FEDERAIS DE EDUCAÇÃO BÁSICA</t>
  </si>
  <si>
    <t>12.364.5013.20GK.0015 - FOMENTO ÀS AÇÕES DE ENSINO PESQUISA E EXTENSÃO - PO: 0000 / PO: 0002</t>
  </si>
  <si>
    <t>12.364.5013.20RK.0015 - FUNCIONAMENTO DAS UNIVERSIDADES FEDERAIS - PO: 0000 / PO: 0002</t>
  </si>
  <si>
    <t>12.364.5013.4002.0015 - ASSISTÊNCIA AO ESTUDANTE DE ENSINO SUPERIOR - PO: 0000 / PO: 0001 / PO: 0003</t>
  </si>
  <si>
    <t xml:space="preserve">12.364.5013.8282.0015 - REESTRUTURAÇÃO E EXPANSÃO DAS UNIVERSIDADES FEDERAIS - REUNI </t>
  </si>
  <si>
    <t>12.128.0032.4572.0015 - CAPACITAÇÃO DE SERVIDORES PÚBLICOS FEDERAIS EM PROCESSO DE QUALIFICAÇÃO E REQUALIFICAÇÃO</t>
  </si>
  <si>
    <t>12.128.0032.216H.0015 - AJUDA DE CUSTO PARA MORADIA</t>
  </si>
  <si>
    <t>0910.00OQ.0015 - CONTRIBUIÇÕES A ORGANISMOS INTERNACIONAIS SEM EXIGÊNCIA DE PROGRAMAÇÃO ESPECIFICA</t>
  </si>
  <si>
    <r>
      <t>AÇÕES ESTRATÉGICAS - EMENDA DE RELATOR</t>
    </r>
    <r>
      <rPr>
        <vertAlign val="superscript"/>
        <sz val="28"/>
        <rFont val="Bookman Old Style"/>
        <family val="1"/>
      </rPr>
      <t>2</t>
    </r>
  </si>
  <si>
    <r>
      <t>CONTRIBUIÇÃO À ASSOCIAÇÃO NACIONAL DOS DIRIGENTES - EMENDA DE RELATOR</t>
    </r>
    <r>
      <rPr>
        <vertAlign val="superscript"/>
        <sz val="28"/>
        <rFont val="Bookman Old Style"/>
        <family val="1"/>
      </rPr>
      <t>2</t>
    </r>
  </si>
  <si>
    <r>
      <t>CONTRIBUIÇÕES INTERNACIONAIS - EMENDA DE RELATOR</t>
    </r>
    <r>
      <rPr>
        <vertAlign val="superscript"/>
        <sz val="28"/>
        <rFont val="Bookman Old Style"/>
        <family val="1"/>
      </rPr>
      <t>2</t>
    </r>
  </si>
  <si>
    <r>
      <t>IDIOMAS SEM FRONTEIRAS - EMENDA DE RELATOR</t>
    </r>
    <r>
      <rPr>
        <vertAlign val="superscript"/>
        <sz val="28"/>
        <rFont val="Bookman Old Style"/>
        <family val="1"/>
      </rPr>
      <t>2</t>
    </r>
  </si>
  <si>
    <r>
      <t>CRÉDITO CONDICIONADO</t>
    </r>
    <r>
      <rPr>
        <b/>
        <vertAlign val="superscript"/>
        <sz val="36"/>
        <rFont val="Bookman Old Style"/>
        <family val="1"/>
      </rPr>
      <t>1</t>
    </r>
  </si>
  <si>
    <r>
      <t>CRÉDITO CONDICIONADO</t>
    </r>
    <r>
      <rPr>
        <b/>
        <vertAlign val="superscript"/>
        <sz val="48"/>
        <rFont val="Bookman Old Style"/>
        <family val="1"/>
      </rPr>
      <t>1</t>
    </r>
  </si>
  <si>
    <r>
      <t>MANUTENÇÃO DOS PRÉDIOS DE SALAS DE AULA E SALAS ADMINISTRATIVAS DA ETDUFPA - EMENDA DE RELATOR</t>
    </r>
    <r>
      <rPr>
        <vertAlign val="superscript"/>
        <sz val="36"/>
        <rFont val="Bookman Old Style"/>
        <family val="1"/>
      </rPr>
      <t>2</t>
    </r>
  </si>
  <si>
    <r>
      <t>AQUISIÇÃO DE BENS PERMANENTES PARA CONTINUIDADE DAS ATIVIDADES DA ETDUFPA - CAPITAL - EMENDA DE RELATOR</t>
    </r>
    <r>
      <rPr>
        <vertAlign val="superscript"/>
        <sz val="36"/>
        <color rgb="FFFF0000"/>
        <rFont val="Bookman Old Style"/>
        <family val="1"/>
      </rPr>
      <t>2</t>
    </r>
  </si>
  <si>
    <r>
      <t>Auxílios do Programa de Assistência ao Educando do Ensino Técnico - Assistência Estudantil EPT - ETDUFPA - EMENDA DE RELATOR</t>
    </r>
    <r>
      <rPr>
        <vertAlign val="superscript"/>
        <sz val="36"/>
        <rFont val="Bookman Old Style"/>
        <family val="1"/>
      </rPr>
      <t>2</t>
    </r>
  </si>
  <si>
    <r>
      <t>AQUISIÇÃO DE MATERIAL LABORATORIAL - Emenda de Relator</t>
    </r>
    <r>
      <rPr>
        <vertAlign val="superscript"/>
        <sz val="36"/>
        <rFont val="Bookman Old Style"/>
        <family val="1"/>
      </rPr>
      <t>2</t>
    </r>
  </si>
  <si>
    <r>
      <t>AQUISIÇÃO DE EQUIPAMENTOS - CAPITAL - Emenda de Relator</t>
    </r>
    <r>
      <rPr>
        <vertAlign val="superscript"/>
        <sz val="36"/>
        <color rgb="FFFF0000"/>
        <rFont val="Bookman Old Style"/>
        <family val="1"/>
      </rPr>
      <t>2</t>
    </r>
  </si>
  <si>
    <t>SERVIÇO DE BOLSISTA NA ADMINISTRAÇÃO DO NEB</t>
  </si>
  <si>
    <t>FUNCIONAMENTO DA UNIDADE ACADÊMICA</t>
  </si>
  <si>
    <t>REALIZAÇÃO DE EVENTOS</t>
  </si>
  <si>
    <t>MANUTENÇÃO DO PRÉDIO</t>
  </si>
  <si>
    <t>MANUTENAÇÃO DE REFRIGERAÇÃO</t>
  </si>
  <si>
    <r>
      <t>FUNCIONAMENTO DA ESCOLA DE APLICAÇÃO - CUSTEIO - EMENDA DE RELATOR</t>
    </r>
    <r>
      <rPr>
        <vertAlign val="superscript"/>
        <sz val="36"/>
        <rFont val="Bookman Old Style"/>
        <family val="1"/>
      </rPr>
      <t>2</t>
    </r>
  </si>
  <si>
    <r>
      <t>FUNCIONAMENTO DA ESCOLA DE APLICAÇÃO - CAPITAL - EMENDA DE RELATOR</t>
    </r>
    <r>
      <rPr>
        <vertAlign val="superscript"/>
        <sz val="36"/>
        <color rgb="FFFF0000"/>
        <rFont val="Bookman Old Style"/>
        <family val="1"/>
      </rPr>
      <t>2</t>
    </r>
  </si>
  <si>
    <r>
      <t>MANUTENÇÃO DOS PRÉDIOS DE SALAS DE AULA E SALAS ADMINISTRATIVAS DA ESCOLA DE MÚSICA - EMENDA DE RELATOR</t>
    </r>
    <r>
      <rPr>
        <vertAlign val="superscript"/>
        <sz val="36"/>
        <rFont val="Bookman Old Style"/>
        <family val="1"/>
      </rPr>
      <t>2</t>
    </r>
  </si>
  <si>
    <r>
      <t>AQUISIÇÃO DE BENS PERMANENTES PARA CONTINUIDADE DAS ATIVIDADES DA ESCOLA DE MÚSICA - CAPITAL - EMENDA DE RELATOR</t>
    </r>
    <r>
      <rPr>
        <vertAlign val="superscript"/>
        <sz val="36"/>
        <color rgb="FFFF0000"/>
        <rFont val="Bookman Old Style"/>
        <family val="1"/>
      </rPr>
      <t>2</t>
    </r>
  </si>
  <si>
    <r>
      <t>AUXÍLIOS DO PROGRAMA DE ASSISTÊNCIA AO EDUCANDO DO ENSINO TÉCNICO - ASSISTÊNCIA ESTUDANTIL EPT - EMUFPA - EMENDA DE RELATOR</t>
    </r>
    <r>
      <rPr>
        <vertAlign val="superscript"/>
        <sz val="36"/>
        <rFont val="Bookman Old Style"/>
        <family val="1"/>
      </rPr>
      <t>2</t>
    </r>
  </si>
  <si>
    <t xml:space="preserve">Assistência Estudantil - Despesas Diversas </t>
  </si>
  <si>
    <t>CAPACITAÇÃO DE SERVIDORES DO CAMPUS TUCURUI</t>
  </si>
  <si>
    <t>AUXILIOS PROMISSAES - (ESTRANGEIRO E MORADIA)</t>
  </si>
  <si>
    <t>CAPACITAÇÃO DE SERVIDORES DO IG</t>
  </si>
  <si>
    <t>CAPACITAÇÃO DE SERVIDORES DO NEB</t>
  </si>
  <si>
    <t>CAPACITAÇÃO DE SERVIDORES DO CAMPUS CAPANEMA</t>
  </si>
  <si>
    <t>CAPACITAÇÃO DE SERVIDORES DO CAMPUS SALINOPÓLIS</t>
  </si>
  <si>
    <t>CAPACITAÇÃO DE SERVIDORES DO CAMPUS ANANINDEUA</t>
  </si>
  <si>
    <t>CAPACITAÇÃO DE SERVIDORES DO CAMPUS ALTAMIRA</t>
  </si>
  <si>
    <t>CAPACITAÇÃO DE SERVIDORES DO CAMPUS CASTANHAL</t>
  </si>
  <si>
    <t>CAPACITAÇÃO DE SERVIDORES DO CAMPUS SOURE</t>
  </si>
  <si>
    <t>CAPACITAÇÃO DE SERVIDORES DO CAMPUS CAMETÁ</t>
  </si>
  <si>
    <t>CAPACITAÇÃO DE SERVIDORES DO CAMPUS BREVES</t>
  </si>
  <si>
    <t>12.363.5012.20RL.0015 - FUNCIONAMENTO DAS INSTITUIÇÕES DA REDE FEDERAL DE EDUCAÇÃO PROFISSIONAL, CIENTIFICA E TECNOLÓGICA</t>
  </si>
  <si>
    <t>12.363.5012.2994.0015 - ASSISTÊNCIA AOS ESTUDANTES DAS INSTITUIÇÕES DA REDE FEDERAL DE EDUCAÇÃO PROFISSIONAL, CIENTIFICA E TECNOLÓGICA- PO: 0000 / PO: 0001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</si>
</sst>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&quot;R$ &quot;#,##0.00"/>
    <numFmt numFmtId="166" formatCode="_(* #,##0_);_(* \(#,##0\);_(* &quot;-&quot;??_);_(@_)"/>
    <numFmt numFmtId="167" formatCode="&quot;R$&quot;\ #,##0.00"/>
    <numFmt numFmtId="168" formatCode="_-* #,##0.00_-;\-* #,##0.00_-;_-* \-??_-;_-@_-"/>
    <numFmt numFmtId="169" formatCode="_(* #,##0.00_);_(* \(#,##0.00\);_(* \-??_);_(@_)"/>
  </numFmts>
  <fonts count="10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sz val="14"/>
      <color indexed="10"/>
      <name val="Arial"/>
      <family val="2"/>
    </font>
    <font>
      <b/>
      <sz val="22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u/>
      <sz val="8"/>
      <name val="Arial"/>
      <family val="2"/>
    </font>
    <font>
      <u/>
      <sz val="10"/>
      <name val="Arial"/>
      <family val="2"/>
    </font>
    <font>
      <sz val="20"/>
      <name val="Arial"/>
      <family val="2"/>
    </font>
    <font>
      <sz val="24"/>
      <name val="Arial"/>
      <family val="2"/>
    </font>
    <font>
      <sz val="28"/>
      <name val="Arial"/>
      <family val="2"/>
    </font>
    <font>
      <sz val="26"/>
      <name val="Arial"/>
      <family val="2"/>
    </font>
    <font>
      <sz val="36"/>
      <name val="Arial"/>
      <family val="2"/>
    </font>
    <font>
      <sz val="18"/>
      <color indexed="8"/>
      <name val="Arial"/>
      <family val="2"/>
    </font>
    <font>
      <b/>
      <sz val="20"/>
      <color indexed="8"/>
      <name val="Arial"/>
      <family val="2"/>
    </font>
    <font>
      <sz val="20"/>
      <color indexed="8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sz val="10"/>
      <name val="Arial"/>
      <family val="2"/>
    </font>
    <font>
      <vertAlign val="superscript"/>
      <sz val="16"/>
      <name val="Arial"/>
      <family val="2"/>
    </font>
    <font>
      <b/>
      <sz val="18"/>
      <name val="Bookman Old Style"/>
      <family val="1"/>
    </font>
    <font>
      <b/>
      <sz val="22"/>
      <name val="Bookman Old Style"/>
      <family val="1"/>
    </font>
    <font>
      <sz val="16"/>
      <name val="Bookman Old Style"/>
      <family val="1"/>
    </font>
    <font>
      <sz val="22"/>
      <name val="Bookman Old Style"/>
      <family val="1"/>
    </font>
    <font>
      <b/>
      <sz val="24"/>
      <name val="Bookman Old Style"/>
      <family val="1"/>
    </font>
    <font>
      <sz val="24"/>
      <name val="Bookman Old Style"/>
      <family val="1"/>
    </font>
    <font>
      <b/>
      <sz val="20"/>
      <name val="Bookman Old Style"/>
      <family val="1"/>
    </font>
    <font>
      <b/>
      <sz val="28"/>
      <name val="Berlin Sans FB Demi"/>
      <family val="2"/>
    </font>
    <font>
      <b/>
      <sz val="28"/>
      <name val="Bookman Old Style"/>
      <family val="1"/>
    </font>
    <font>
      <b/>
      <sz val="24"/>
      <name val="Berlin Sans FB Demi"/>
      <family val="2"/>
    </font>
    <font>
      <b/>
      <sz val="36"/>
      <name val="Bookman Old Style"/>
      <family val="1"/>
    </font>
    <font>
      <b/>
      <sz val="24"/>
      <color indexed="8"/>
      <name val="Bookman Old Style"/>
      <family val="1"/>
    </font>
    <font>
      <b/>
      <sz val="24"/>
      <color indexed="10"/>
      <name val="Bookman Old Style"/>
      <family val="1"/>
    </font>
    <font>
      <b/>
      <vertAlign val="superscript"/>
      <sz val="24"/>
      <name val="Bookman Old Style"/>
      <family val="1"/>
    </font>
    <font>
      <vertAlign val="superscript"/>
      <sz val="22"/>
      <name val="Bookman Old Style"/>
      <family val="1"/>
    </font>
    <font>
      <b/>
      <vertAlign val="superscript"/>
      <sz val="28"/>
      <name val="Berlin Sans FB Demi"/>
      <family val="2"/>
    </font>
    <font>
      <sz val="11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8"/>
      <color rgb="FFFF0000"/>
      <name val="Arial"/>
      <family val="2"/>
    </font>
    <font>
      <sz val="16"/>
      <color theme="1"/>
      <name val="Arial"/>
      <family val="2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color rgb="FFFF0000"/>
      <name val="Arial"/>
      <family val="2"/>
    </font>
    <font>
      <sz val="20"/>
      <color theme="1"/>
      <name val="Arial"/>
      <family val="2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8"/>
      <color theme="8" tint="-0.249977111117893"/>
      <name val="Arial"/>
      <family val="2"/>
    </font>
    <font>
      <sz val="16"/>
      <color rgb="FFFF0000"/>
      <name val="Arial"/>
      <family val="2"/>
    </font>
    <font>
      <sz val="26"/>
      <name val="Bookman Old Style"/>
      <family val="1"/>
    </font>
    <font>
      <b/>
      <sz val="26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b/>
      <sz val="26"/>
      <name val="Bookman Old Style"/>
      <family val="1"/>
    </font>
    <font>
      <b/>
      <sz val="40"/>
      <name val="Bookman Old Style"/>
      <family val="1"/>
    </font>
    <font>
      <b/>
      <sz val="26"/>
      <name val="Berlin Sans FB Demi"/>
      <family val="2"/>
    </font>
    <font>
      <sz val="28"/>
      <name val="Bookman Old Style"/>
      <family val="1"/>
    </font>
    <font>
      <b/>
      <sz val="28"/>
      <color indexed="8"/>
      <name val="Bookman Old Style"/>
      <family val="1"/>
    </font>
    <font>
      <sz val="28"/>
      <color indexed="8"/>
      <name val="Bookman Old Style"/>
      <family val="1"/>
    </font>
    <font>
      <sz val="26"/>
      <color rgb="FFFF0000"/>
      <name val="Arial"/>
      <family val="2"/>
    </font>
    <font>
      <sz val="10"/>
      <name val="Arial"/>
      <family val="2"/>
    </font>
    <font>
      <sz val="12"/>
      <name val="Bookman Old Style"/>
      <family val="1"/>
    </font>
    <font>
      <b/>
      <sz val="16"/>
      <name val="Bookman Old Style"/>
      <family val="1"/>
    </font>
    <font>
      <sz val="34"/>
      <name val="Bookman Old Style"/>
      <family val="1"/>
    </font>
    <font>
      <b/>
      <sz val="28"/>
      <name val="Arial"/>
      <family val="2"/>
    </font>
    <font>
      <b/>
      <sz val="28"/>
      <color indexed="10"/>
      <name val="Bookman Old Style"/>
      <family val="1"/>
    </font>
    <font>
      <sz val="30"/>
      <name val="Bookman Old Style"/>
      <family val="1"/>
    </font>
    <font>
      <sz val="28"/>
      <color rgb="FFFF0000"/>
      <name val="Arial"/>
      <family val="2"/>
    </font>
    <font>
      <b/>
      <sz val="48"/>
      <name val="Bookman Old Style"/>
      <family val="1"/>
    </font>
    <font>
      <sz val="48"/>
      <name val="Bookman Old Style"/>
      <family val="1"/>
    </font>
    <font>
      <sz val="32"/>
      <name val="Bookman Old Style"/>
      <family val="1"/>
    </font>
    <font>
      <sz val="36"/>
      <name val="Bookman Old Style"/>
      <family val="1"/>
    </font>
    <font>
      <b/>
      <sz val="36"/>
      <color rgb="FFFF0000"/>
      <name val="Bookman Old Style"/>
      <family val="1"/>
    </font>
    <font>
      <sz val="10"/>
      <color rgb="FFFF0000"/>
      <name val="Arial"/>
      <family val="2"/>
    </font>
    <font>
      <sz val="28"/>
      <color rgb="FFFF0000"/>
      <name val="Bookman Old Style"/>
      <family val="1"/>
    </font>
    <font>
      <vertAlign val="superscript"/>
      <sz val="28"/>
      <name val="Bookman Old Style"/>
      <family val="1"/>
    </font>
    <font>
      <b/>
      <vertAlign val="superscript"/>
      <sz val="28"/>
      <name val="Bookman Old Style"/>
      <family val="1"/>
    </font>
    <font>
      <vertAlign val="superscript"/>
      <sz val="28"/>
      <color rgb="FFFF0000"/>
      <name val="Bookman Old Style"/>
      <family val="1"/>
    </font>
    <font>
      <sz val="48"/>
      <name val="Arial"/>
      <family val="2"/>
    </font>
    <font>
      <b/>
      <sz val="72"/>
      <name val="Bookman Old Style"/>
      <family val="1"/>
    </font>
    <font>
      <b/>
      <sz val="48"/>
      <name val="Arial"/>
      <family val="2"/>
    </font>
    <font>
      <b/>
      <sz val="44"/>
      <name val="Bookman Old Style"/>
      <family val="1"/>
    </font>
    <font>
      <sz val="44"/>
      <name val="Bookman Old Style"/>
      <family val="1"/>
    </font>
    <font>
      <b/>
      <vertAlign val="superscript"/>
      <sz val="36"/>
      <name val="Bookman Old Style"/>
      <family val="1"/>
    </font>
    <font>
      <b/>
      <vertAlign val="superscript"/>
      <sz val="48"/>
      <name val="Bookman Old Style"/>
      <family val="1"/>
    </font>
    <font>
      <sz val="36"/>
      <color rgb="FFFF0000"/>
      <name val="Bookman Old Style"/>
      <family val="1"/>
    </font>
    <font>
      <vertAlign val="superscript"/>
      <sz val="36"/>
      <name val="Bookman Old Style"/>
      <family val="1"/>
    </font>
    <font>
      <vertAlign val="superscript"/>
      <sz val="36"/>
      <color rgb="FFFF0000"/>
      <name val="Bookman Old Style"/>
      <family val="1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47C1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gradientFill degree="45">
        <stop position="0">
          <color theme="0" tint="-0.25098422193060094"/>
        </stop>
        <stop position="1">
          <color theme="0"/>
        </stop>
      </gradientFill>
    </fill>
    <fill>
      <gradientFill type="path" top="1" bottom="1">
        <stop position="0">
          <color theme="1" tint="0.49803155613879818"/>
        </stop>
        <stop position="1">
          <color theme="0" tint="-5.0965910824915313E-2"/>
        </stop>
      </gradientFill>
    </fill>
    <fill>
      <gradientFill degree="90">
        <stop position="0">
          <color theme="0" tint="-0.1490218817712943"/>
        </stop>
        <stop position="1">
          <color theme="1" tint="0.34900967436750391"/>
        </stop>
      </gradientFill>
    </fill>
    <fill>
      <gradientFill degree="45">
        <stop position="0">
          <color theme="0"/>
        </stop>
        <stop position="1">
          <color theme="1"/>
        </stop>
      </gradient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8"/>
      </top>
      <bottom style="thin">
        <color indexed="64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dash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8"/>
      </top>
      <bottom style="dashed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8"/>
      </top>
      <bottom/>
      <diagonal/>
    </border>
    <border>
      <left style="thin">
        <color indexed="64"/>
      </left>
      <right style="thin">
        <color indexed="8"/>
      </right>
      <top style="dott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thin">
        <color indexed="64"/>
      </right>
      <top style="dotted">
        <color indexed="8"/>
      </top>
      <bottom/>
      <diagonal/>
    </border>
    <border>
      <left style="thin">
        <color indexed="64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ash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dash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8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41">
    <xf numFmtId="0" fontId="0" fillId="0" borderId="0"/>
    <xf numFmtId="0" fontId="6" fillId="0" borderId="0"/>
    <xf numFmtId="0" fontId="6" fillId="0" borderId="0"/>
    <xf numFmtId="0" fontId="34" fillId="0" borderId="0"/>
    <xf numFmtId="0" fontId="52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3" fillId="0" borderId="117" applyNumberFormat="0" applyAlignment="0" applyProtection="0"/>
    <xf numFmtId="0" fontId="3" fillId="0" borderId="0"/>
    <xf numFmtId="0" fontId="4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0" fontId="69" fillId="16" borderId="118" applyNumberFormat="0" applyAlignment="0" applyProtection="0"/>
    <xf numFmtId="0" fontId="3" fillId="0" borderId="0"/>
    <xf numFmtId="0" fontId="69" fillId="16" borderId="118" applyNumberFormat="0" applyAlignment="0" applyProtection="0"/>
    <xf numFmtId="0" fontId="4" fillId="0" borderId="0"/>
    <xf numFmtId="0" fontId="69" fillId="17" borderId="11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2" fillId="0" borderId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53" fillId="0" borderId="117" applyNumberFormat="0" applyAlignment="0" applyProtection="0"/>
    <xf numFmtId="0" fontId="69" fillId="18" borderId="118">
      <alignment horizontal="center" vertical="center"/>
    </xf>
    <xf numFmtId="0" fontId="69" fillId="19" borderId="118">
      <alignment horizontal="center" vertical="center"/>
    </xf>
    <xf numFmtId="0" fontId="4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69" fillId="17" borderId="118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9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16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4" fillId="0" borderId="0"/>
    <xf numFmtId="0" fontId="69" fillId="16" borderId="118" applyNumberFormat="0" applyAlignment="0" applyProtection="0"/>
    <xf numFmtId="0" fontId="4" fillId="0" borderId="0"/>
    <xf numFmtId="0" fontId="69" fillId="17" borderId="118" applyNumberFormat="0" applyAlignment="0" applyProtection="0"/>
    <xf numFmtId="0" fontId="4" fillId="0" borderId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7" borderId="118" applyNumberFormat="0" applyAlignment="0" applyProtection="0"/>
    <xf numFmtId="0" fontId="69" fillId="17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6" borderId="118" applyNumberFormat="0" applyAlignment="0" applyProtection="0"/>
    <xf numFmtId="0" fontId="69" fillId="16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6" borderId="118" applyNumberFormat="0" applyAlignment="0" applyProtection="0"/>
    <xf numFmtId="0" fontId="69" fillId="17" borderId="118" applyNumberFormat="0" applyAlignment="0" applyProtection="0"/>
    <xf numFmtId="0" fontId="69" fillId="17" borderId="118" applyNumberFormat="0" applyAlignment="0" applyProtection="0"/>
    <xf numFmtId="0" fontId="4" fillId="0" borderId="0"/>
    <xf numFmtId="0" fontId="2" fillId="0" borderId="0"/>
    <xf numFmtId="0" fontId="70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327">
    <xf numFmtId="0" fontId="0" fillId="0" borderId="0" xfId="0"/>
    <xf numFmtId="0" fontId="8" fillId="2" borderId="0" xfId="0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165" fontId="9" fillId="2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" fontId="14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6" fontId="11" fillId="0" borderId="0" xfId="8" applyNumberFormat="1" applyFont="1" applyBorder="1" applyAlignment="1">
      <alignment vertical="center"/>
    </xf>
    <xf numFmtId="166" fontId="11" fillId="0" borderId="0" xfId="8" applyNumberFormat="1" applyFont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justify" vertical="center"/>
    </xf>
    <xf numFmtId="0" fontId="12" fillId="0" borderId="1" xfId="0" applyFont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6" fontId="25" fillId="0" borderId="0" xfId="8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6" fontId="8" fillId="0" borderId="0" xfId="8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11" fillId="2" borderId="0" xfId="8" applyNumberFormat="1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166" fontId="8" fillId="0" borderId="0" xfId="8" applyNumberFormat="1" applyFont="1" applyBorder="1" applyAlignment="1">
      <alignment horizontal="center" vertical="center"/>
    </xf>
    <xf numFmtId="3" fontId="14" fillId="6" borderId="0" xfId="0" applyNumberFormat="1" applyFont="1" applyFill="1" applyAlignment="1">
      <alignment horizontal="center" vertical="center"/>
    </xf>
    <xf numFmtId="3" fontId="14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6" fontId="11" fillId="6" borderId="0" xfId="8" applyNumberFormat="1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center" vertical="center" wrapText="1"/>
    </xf>
    <xf numFmtId="164" fontId="11" fillId="0" borderId="0" xfId="8" applyFont="1" applyBorder="1" applyAlignment="1">
      <alignment horizontal="righ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3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4" fontId="13" fillId="2" borderId="0" xfId="0" applyNumberFormat="1" applyFont="1" applyFill="1" applyBorder="1" applyAlignment="1">
      <alignment vertical="center" wrapText="1"/>
    </xf>
    <xf numFmtId="4" fontId="13" fillId="0" borderId="0" xfId="0" applyNumberFormat="1" applyFont="1" applyBorder="1" applyAlignment="1">
      <alignment vertical="center" wrapText="1"/>
    </xf>
    <xf numFmtId="4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164" fontId="8" fillId="0" borderId="0" xfId="8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0" fontId="13" fillId="0" borderId="0" xfId="0" applyNumberFormat="1" applyFont="1" applyBorder="1" applyAlignment="1">
      <alignment vertical="center"/>
    </xf>
    <xf numFmtId="10" fontId="13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center" vertical="center" wrapText="1"/>
    </xf>
    <xf numFmtId="49" fontId="55" fillId="6" borderId="1" xfId="0" applyNumberFormat="1" applyFont="1" applyFill="1" applyBorder="1" applyAlignment="1">
      <alignment horizontal="center" vertical="center"/>
    </xf>
    <xf numFmtId="0" fontId="55" fillId="6" borderId="1" xfId="0" applyFont="1" applyFill="1" applyBorder="1" applyAlignment="1">
      <alignment horizontal="justify" vertical="center" wrapText="1"/>
    </xf>
    <xf numFmtId="3" fontId="55" fillId="6" borderId="1" xfId="0" applyNumberFormat="1" applyFont="1" applyFill="1" applyBorder="1" applyAlignment="1">
      <alignment horizontal="center" vertical="center" wrapText="1"/>
    </xf>
    <xf numFmtId="9" fontId="13" fillId="0" borderId="1" xfId="5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justify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3" fontId="56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justify" vertical="center"/>
    </xf>
    <xf numFmtId="0" fontId="14" fillId="3" borderId="1" xfId="0" applyFont="1" applyFill="1" applyBorder="1" applyAlignment="1">
      <alignment horizontal="left" vertical="center"/>
    </xf>
    <xf numFmtId="3" fontId="57" fillId="3" borderId="1" xfId="0" applyNumberFormat="1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166" fontId="16" fillId="0" borderId="0" xfId="8" applyNumberFormat="1" applyFont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164" fontId="27" fillId="0" borderId="0" xfId="8" applyFont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3" fontId="27" fillId="0" borderId="0" xfId="0" applyNumberFormat="1" applyFont="1" applyAlignment="1">
      <alignment vertical="center"/>
    </xf>
    <xf numFmtId="49" fontId="13" fillId="2" borderId="8" xfId="0" applyNumberFormat="1" applyFont="1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3" fillId="2" borderId="11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49" fontId="13" fillId="2" borderId="13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3" fontId="58" fillId="2" borderId="1" xfId="0" applyNumberFormat="1" applyFont="1" applyFill="1" applyBorder="1" applyAlignment="1">
      <alignment horizontal="right" vertical="center"/>
    </xf>
    <xf numFmtId="3" fontId="15" fillId="6" borderId="1" xfId="0" applyNumberFormat="1" applyFont="1" applyFill="1" applyBorder="1" applyAlignment="1">
      <alignment horizontal="right" vertical="center"/>
    </xf>
    <xf numFmtId="3" fontId="15" fillId="6" borderId="1" xfId="0" applyNumberFormat="1" applyFont="1" applyFill="1" applyBorder="1" applyAlignment="1">
      <alignment horizontal="right" vertical="center" wrapText="1"/>
    </xf>
    <xf numFmtId="0" fontId="15" fillId="6" borderId="1" xfId="0" applyFont="1" applyFill="1" applyBorder="1" applyAlignment="1">
      <alignment horizontal="right" vertical="center" wrapText="1"/>
    </xf>
    <xf numFmtId="3" fontId="15" fillId="6" borderId="1" xfId="0" applyNumberFormat="1" applyFont="1" applyFill="1" applyBorder="1" applyAlignment="1">
      <alignment horizontal="center" vertical="center" wrapText="1"/>
    </xf>
    <xf numFmtId="3" fontId="58" fillId="6" borderId="1" xfId="0" applyNumberFormat="1" applyFont="1" applyFill="1" applyBorder="1" applyAlignment="1">
      <alignment horizontal="right" vertical="center" wrapText="1"/>
    </xf>
    <xf numFmtId="3" fontId="58" fillId="2" borderId="1" xfId="0" applyNumberFormat="1" applyFont="1" applyFill="1" applyBorder="1" applyAlignment="1">
      <alignment horizontal="right" vertical="center" wrapText="1"/>
    </xf>
    <xf numFmtId="3" fontId="58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3" fontId="59" fillId="0" borderId="1" xfId="0" applyNumberFormat="1" applyFont="1" applyBorder="1" applyAlignment="1">
      <alignment horizontal="right" vertical="center" wrapText="1"/>
    </xf>
    <xf numFmtId="41" fontId="15" fillId="2" borderId="1" xfId="0" applyNumberFormat="1" applyFont="1" applyFill="1" applyBorder="1" applyAlignment="1">
      <alignment horizontal="right" vertical="center"/>
    </xf>
    <xf numFmtId="3" fontId="15" fillId="2" borderId="16" xfId="0" applyNumberFormat="1" applyFont="1" applyFill="1" applyBorder="1" applyAlignment="1">
      <alignment horizontal="right" vertical="center"/>
    </xf>
    <xf numFmtId="3" fontId="15" fillId="2" borderId="17" xfId="0" applyNumberFormat="1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3" fontId="15" fillId="2" borderId="19" xfId="0" applyNumberFormat="1" applyFont="1" applyFill="1" applyBorder="1" applyAlignment="1">
      <alignment horizontal="right" vertical="center"/>
    </xf>
    <xf numFmtId="3" fontId="15" fillId="2" borderId="20" xfId="0" applyNumberFormat="1" applyFont="1" applyFill="1" applyBorder="1" applyAlignment="1">
      <alignment horizontal="right" vertical="center"/>
    </xf>
    <xf numFmtId="3" fontId="59" fillId="6" borderId="1" xfId="0" applyNumberFormat="1" applyFont="1" applyFill="1" applyBorder="1" applyAlignment="1">
      <alignment horizontal="right" vertical="center" wrapText="1"/>
    </xf>
    <xf numFmtId="0" fontId="15" fillId="6" borderId="1" xfId="0" applyFont="1" applyFill="1" applyBorder="1" applyAlignment="1">
      <alignment horizontal="left" vertical="center" wrapText="1"/>
    </xf>
    <xf numFmtId="3" fontId="59" fillId="2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Border="1" applyAlignment="1">
      <alignment vertical="center" wrapText="1"/>
    </xf>
    <xf numFmtId="3" fontId="59" fillId="2" borderId="1" xfId="0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center" vertical="center"/>
    </xf>
    <xf numFmtId="4" fontId="15" fillId="2" borderId="0" xfId="0" applyNumberFormat="1" applyFont="1" applyFill="1" applyBorder="1" applyAlignment="1">
      <alignment vertical="center" wrapText="1"/>
    </xf>
    <xf numFmtId="4" fontId="15" fillId="2" borderId="0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Border="1" applyAlignment="1">
      <alignment vertical="center" wrapText="1"/>
    </xf>
    <xf numFmtId="3" fontId="59" fillId="0" borderId="1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vertical="center"/>
    </xf>
    <xf numFmtId="41" fontId="15" fillId="2" borderId="1" xfId="0" applyNumberFormat="1" applyFont="1" applyFill="1" applyBorder="1" applyAlignment="1">
      <alignment horizontal="center" vertical="center" wrapText="1"/>
    </xf>
    <xf numFmtId="166" fontId="15" fillId="0" borderId="0" xfId="8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3" fontId="17" fillId="3" borderId="21" xfId="0" applyNumberFormat="1" applyFont="1" applyFill="1" applyBorder="1" applyAlignment="1">
      <alignment horizontal="right" vertical="center" wrapText="1"/>
    </xf>
    <xf numFmtId="3" fontId="24" fillId="4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justify" vertical="center" wrapText="1"/>
    </xf>
    <xf numFmtId="3" fontId="24" fillId="2" borderId="21" xfId="0" applyNumberFormat="1" applyFont="1" applyFill="1" applyBorder="1" applyAlignment="1">
      <alignment horizontal="center" vertical="center" wrapText="1"/>
    </xf>
    <xf numFmtId="3" fontId="24" fillId="2" borderId="21" xfId="0" applyNumberFormat="1" applyFont="1" applyFill="1" applyBorder="1" applyAlignment="1">
      <alignment horizontal="right" vertical="center" wrapText="1"/>
    </xf>
    <xf numFmtId="3" fontId="24" fillId="2" borderId="21" xfId="0" applyNumberFormat="1" applyFont="1" applyFill="1" applyBorder="1" applyAlignment="1">
      <alignment vertical="center"/>
    </xf>
    <xf numFmtId="3" fontId="24" fillId="2" borderId="21" xfId="0" applyNumberFormat="1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9" fontId="19" fillId="0" borderId="0" xfId="5" applyFont="1" applyBorder="1" applyAlignment="1">
      <alignment horizontal="center" vertical="center"/>
    </xf>
    <xf numFmtId="0" fontId="24" fillId="2" borderId="23" xfId="0" applyFont="1" applyFill="1" applyBorder="1" applyAlignment="1">
      <alignment horizontal="justify" vertical="center" wrapText="1"/>
    </xf>
    <xf numFmtId="3" fontId="24" fillId="2" borderId="23" xfId="0" applyNumberFormat="1" applyFont="1" applyFill="1" applyBorder="1" applyAlignment="1">
      <alignment horizontal="center" vertical="center" wrapText="1"/>
    </xf>
    <xf numFmtId="3" fontId="17" fillId="3" borderId="24" xfId="0" applyNumberFormat="1" applyFont="1" applyFill="1" applyBorder="1" applyAlignment="1">
      <alignment horizontal="right" vertical="center" wrapText="1"/>
    </xf>
    <xf numFmtId="3" fontId="24" fillId="2" borderId="23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49" fontId="24" fillId="2" borderId="25" xfId="0" applyNumberFormat="1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justify" vertical="center"/>
    </xf>
    <xf numFmtId="0" fontId="24" fillId="2" borderId="0" xfId="0" applyFont="1" applyFill="1" applyBorder="1" applyAlignment="1">
      <alignment horizontal="justify" vertical="center"/>
    </xf>
    <xf numFmtId="0" fontId="24" fillId="2" borderId="27" xfId="0" applyFont="1" applyFill="1" applyBorder="1" applyAlignment="1">
      <alignment horizontal="justify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/>
    </xf>
    <xf numFmtId="3" fontId="17" fillId="2" borderId="4" xfId="0" applyNumberFormat="1" applyFont="1" applyFill="1" applyBorder="1" applyAlignment="1">
      <alignment vertical="center"/>
    </xf>
    <xf numFmtId="49" fontId="24" fillId="2" borderId="28" xfId="0" applyNumberFormat="1" applyFont="1" applyFill="1" applyBorder="1" applyAlignment="1">
      <alignment horizontal="center" vertical="center"/>
    </xf>
    <xf numFmtId="3" fontId="24" fillId="2" borderId="16" xfId="0" applyNumberFormat="1" applyFont="1" applyFill="1" applyBorder="1" applyAlignment="1">
      <alignment horizontal="right" vertical="center"/>
    </xf>
    <xf numFmtId="3" fontId="24" fillId="2" borderId="17" xfId="0" applyNumberFormat="1" applyFont="1" applyFill="1" applyBorder="1" applyAlignment="1">
      <alignment horizontal="right" vertical="center"/>
    </xf>
    <xf numFmtId="49" fontId="24" fillId="2" borderId="29" xfId="0" applyNumberFormat="1" applyFont="1" applyFill="1" applyBorder="1" applyAlignment="1">
      <alignment horizontal="center" vertical="center"/>
    </xf>
    <xf numFmtId="49" fontId="24" fillId="2" borderId="30" xfId="0" applyNumberFormat="1" applyFont="1" applyFill="1" applyBorder="1" applyAlignment="1">
      <alignment horizontal="center" vertical="center"/>
    </xf>
    <xf numFmtId="3" fontId="60" fillId="2" borderId="31" xfId="0" applyNumberFormat="1" applyFont="1" applyFill="1" applyBorder="1" applyAlignment="1">
      <alignment horizontal="right" vertical="center"/>
    </xf>
    <xf numFmtId="3" fontId="60" fillId="2" borderId="32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9" fontId="15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9" fontId="15" fillId="6" borderId="1" xfId="5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vertical="center"/>
    </xf>
    <xf numFmtId="0" fontId="15" fillId="6" borderId="1" xfId="0" applyFont="1" applyFill="1" applyBorder="1" applyAlignment="1">
      <alignment horizontal="justify" vertical="center" wrapText="1"/>
    </xf>
    <xf numFmtId="9" fontId="15" fillId="6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justify"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justify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15" fillId="2" borderId="1" xfId="0" applyNumberFormat="1" applyFont="1" applyFill="1" applyBorder="1" applyAlignment="1">
      <alignment horizontal="justify" vertical="center"/>
    </xf>
    <xf numFmtId="0" fontId="29" fillId="0" borderId="1" xfId="0" applyFont="1" applyBorder="1" applyAlignment="1">
      <alignment horizontal="justify" vertical="center"/>
    </xf>
    <xf numFmtId="0" fontId="15" fillId="2" borderId="0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justify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vertical="center" wrapText="1"/>
    </xf>
    <xf numFmtId="0" fontId="58" fillId="6" borderId="1" xfId="0" applyFont="1" applyFill="1" applyBorder="1" applyAlignment="1">
      <alignment horizontal="justify" vertical="center" wrapText="1"/>
    </xf>
    <xf numFmtId="9" fontId="15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49" fontId="15" fillId="2" borderId="28" xfId="0" applyNumberFormat="1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49" fontId="15" fillId="2" borderId="33" xfId="0" applyNumberFormat="1" applyFont="1" applyFill="1" applyBorder="1" applyAlignment="1">
      <alignment horizontal="center" vertical="center"/>
    </xf>
    <xf numFmtId="49" fontId="15" fillId="2" borderId="30" xfId="0" applyNumberFormat="1" applyFont="1" applyFill="1" applyBorder="1" applyAlignment="1">
      <alignment horizontal="center" vertical="center"/>
    </xf>
    <xf numFmtId="49" fontId="15" fillId="2" borderId="29" xfId="0" applyNumberFormat="1" applyFont="1" applyFill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164" fontId="15" fillId="6" borderId="1" xfId="8" applyFont="1" applyFill="1" applyBorder="1" applyAlignment="1">
      <alignment horizontal="right" vertical="center"/>
    </xf>
    <xf numFmtId="0" fontId="14" fillId="5" borderId="2" xfId="0" applyFont="1" applyFill="1" applyBorder="1" applyAlignment="1">
      <alignment horizontal="center" vertical="center" wrapText="1"/>
    </xf>
    <xf numFmtId="164" fontId="25" fillId="0" borderId="0" xfId="8" applyFont="1" applyBorder="1" applyAlignment="1">
      <alignment vertical="center"/>
    </xf>
    <xf numFmtId="0" fontId="15" fillId="0" borderId="0" xfId="0" applyFont="1"/>
    <xf numFmtId="0" fontId="24" fillId="4" borderId="34" xfId="0" applyFont="1" applyFill="1" applyBorder="1" applyAlignment="1">
      <alignment horizontal="center" vertical="center" wrapText="1"/>
    </xf>
    <xf numFmtId="49" fontId="24" fillId="6" borderId="34" xfId="0" applyNumberFormat="1" applyFont="1" applyFill="1" applyBorder="1" applyAlignment="1">
      <alignment horizontal="center" vertical="center"/>
    </xf>
    <xf numFmtId="49" fontId="24" fillId="6" borderId="35" xfId="0" applyNumberFormat="1" applyFont="1" applyFill="1" applyBorder="1" applyAlignment="1">
      <alignment horizontal="center" vertical="center"/>
    </xf>
    <xf numFmtId="3" fontId="24" fillId="2" borderId="36" xfId="0" applyNumberFormat="1" applyFont="1" applyFill="1" applyBorder="1" applyAlignment="1">
      <alignment horizontal="right" vertical="center" wrapText="1"/>
    </xf>
    <xf numFmtId="3" fontId="24" fillId="2" borderId="24" xfId="0" applyNumberFormat="1" applyFont="1" applyFill="1" applyBorder="1" applyAlignment="1">
      <alignment horizontal="right" vertical="center" wrapText="1"/>
    </xf>
    <xf numFmtId="3" fontId="24" fillId="2" borderId="37" xfId="0" applyNumberFormat="1" applyFont="1" applyFill="1" applyBorder="1" applyAlignment="1">
      <alignment horizontal="right" vertical="center" wrapText="1"/>
    </xf>
    <xf numFmtId="3" fontId="17" fillId="3" borderId="38" xfId="0" applyNumberFormat="1" applyFont="1" applyFill="1" applyBorder="1" applyAlignment="1">
      <alignment horizontal="right" vertical="center" wrapText="1"/>
    </xf>
    <xf numFmtId="3" fontId="24" fillId="2" borderId="38" xfId="0" applyNumberFormat="1" applyFont="1" applyFill="1" applyBorder="1" applyAlignment="1">
      <alignment horizontal="right" vertical="center" wrapText="1"/>
    </xf>
    <xf numFmtId="3" fontId="24" fillId="2" borderId="39" xfId="0" applyNumberFormat="1" applyFont="1" applyFill="1" applyBorder="1" applyAlignment="1">
      <alignment horizontal="right" vertical="center" wrapText="1"/>
    </xf>
    <xf numFmtId="0" fontId="14" fillId="5" borderId="2" xfId="0" applyFont="1" applyFill="1" applyBorder="1" applyAlignment="1">
      <alignment vertical="center" wrapText="1"/>
    </xf>
    <xf numFmtId="3" fontId="0" fillId="0" borderId="0" xfId="0" applyNumberFormat="1"/>
    <xf numFmtId="166" fontId="0" fillId="0" borderId="0" xfId="8" applyNumberFormat="1" applyFont="1"/>
    <xf numFmtId="0" fontId="0" fillId="0" borderId="0" xfId="0" applyAlignment="1">
      <alignment vertical="center"/>
    </xf>
    <xf numFmtId="0" fontId="0" fillId="0" borderId="40" xfId="0" applyBorder="1" applyAlignment="1">
      <alignment horizontal="center" vertical="center"/>
    </xf>
    <xf numFmtId="164" fontId="0" fillId="0" borderId="1" xfId="8" applyFont="1" applyBorder="1" applyAlignment="1">
      <alignment vertical="center"/>
    </xf>
    <xf numFmtId="164" fontId="0" fillId="0" borderId="41" xfId="8" applyFont="1" applyBorder="1" applyAlignment="1">
      <alignment vertical="center"/>
    </xf>
    <xf numFmtId="164" fontId="0" fillId="0" borderId="40" xfId="8" applyFont="1" applyBorder="1" applyAlignment="1">
      <alignment horizontal="center" vertical="center"/>
    </xf>
    <xf numFmtId="164" fontId="0" fillId="0" borderId="1" xfId="8" applyFont="1" applyBorder="1" applyAlignment="1">
      <alignment horizontal="center" vertical="center"/>
    </xf>
    <xf numFmtId="1" fontId="0" fillId="0" borderId="0" xfId="0" applyNumberFormat="1"/>
    <xf numFmtId="0" fontId="5" fillId="7" borderId="42" xfId="0" applyFont="1" applyFill="1" applyBorder="1" applyAlignment="1">
      <alignment horizontal="center" vertical="center"/>
    </xf>
    <xf numFmtId="166" fontId="5" fillId="7" borderId="43" xfId="0" applyNumberFormat="1" applyFont="1" applyFill="1" applyBorder="1" applyAlignment="1">
      <alignment vertical="center"/>
    </xf>
    <xf numFmtId="166" fontId="5" fillId="7" borderId="44" xfId="0" applyNumberFormat="1" applyFont="1" applyFill="1" applyBorder="1" applyAlignment="1">
      <alignment vertical="center"/>
    </xf>
    <xf numFmtId="166" fontId="5" fillId="7" borderId="43" xfId="0" applyNumberFormat="1" applyFont="1" applyFill="1" applyBorder="1" applyAlignment="1">
      <alignment horizontal="center" vertical="center"/>
    </xf>
    <xf numFmtId="166" fontId="5" fillId="7" borderId="43" xfId="8" applyNumberFormat="1" applyFont="1" applyFill="1" applyBorder="1" applyAlignment="1">
      <alignment horizontal="center" vertical="center"/>
    </xf>
    <xf numFmtId="166" fontId="5" fillId="7" borderId="43" xfId="8" applyNumberFormat="1" applyFont="1" applyFill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6" fontId="27" fillId="0" borderId="0" xfId="8" applyNumberFormat="1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4" fillId="6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/>
    </xf>
    <xf numFmtId="3" fontId="14" fillId="6" borderId="0" xfId="0" applyNumberFormat="1" applyFont="1" applyFill="1" applyBorder="1" applyAlignment="1">
      <alignment horizontal="right" vertical="center" wrapText="1"/>
    </xf>
    <xf numFmtId="164" fontId="57" fillId="5" borderId="0" xfId="8" applyNumberFormat="1" applyFont="1" applyFill="1" applyBorder="1" applyAlignment="1">
      <alignment horizontal="center" vertical="center"/>
    </xf>
    <xf numFmtId="166" fontId="15" fillId="6" borderId="1" xfId="8" applyNumberFormat="1" applyFont="1" applyFill="1" applyBorder="1" applyAlignment="1">
      <alignment horizontal="right" vertical="center"/>
    </xf>
    <xf numFmtId="166" fontId="25" fillId="2" borderId="0" xfId="8" applyNumberFormat="1" applyFont="1" applyFill="1" applyBorder="1" applyAlignment="1">
      <alignment vertical="center"/>
    </xf>
    <xf numFmtId="166" fontId="19" fillId="0" borderId="0" xfId="0" applyNumberFormat="1" applyFont="1" applyBorder="1" applyAlignment="1">
      <alignment horizontal="center" vertical="center"/>
    </xf>
    <xf numFmtId="164" fontId="19" fillId="0" borderId="0" xfId="8" applyFont="1" applyBorder="1" applyAlignment="1">
      <alignment horizontal="center" vertical="center"/>
    </xf>
    <xf numFmtId="164" fontId="14" fillId="0" borderId="0" xfId="8" applyFont="1" applyBorder="1" applyAlignment="1">
      <alignment horizontal="center" vertical="center"/>
    </xf>
    <xf numFmtId="166" fontId="11" fillId="0" borderId="45" xfId="8" applyNumberFormat="1" applyFont="1" applyBorder="1" applyAlignment="1">
      <alignment vertical="center"/>
    </xf>
    <xf numFmtId="166" fontId="33" fillId="0" borderId="46" xfId="8" applyNumberFormat="1" applyFont="1" applyBorder="1" applyAlignment="1">
      <alignment horizontal="center" vertical="center"/>
    </xf>
    <xf numFmtId="166" fontId="33" fillId="0" borderId="48" xfId="8" applyNumberFormat="1" applyFont="1" applyBorder="1" applyAlignment="1">
      <alignment horizontal="center" vertical="center"/>
    </xf>
    <xf numFmtId="9" fontId="28" fillId="0" borderId="49" xfId="5" applyFont="1" applyBorder="1" applyAlignment="1">
      <alignment vertical="center"/>
    </xf>
    <xf numFmtId="9" fontId="28" fillId="8" borderId="51" xfId="5" applyFont="1" applyFill="1" applyBorder="1" applyAlignment="1">
      <alignment vertical="center"/>
    </xf>
    <xf numFmtId="49" fontId="17" fillId="2" borderId="52" xfId="0" applyNumberFormat="1" applyFont="1" applyFill="1" applyBorder="1" applyAlignment="1">
      <alignment horizontal="center" vertical="center"/>
    </xf>
    <xf numFmtId="3" fontId="17" fillId="2" borderId="53" xfId="0" applyNumberFormat="1" applyFont="1" applyFill="1" applyBorder="1" applyAlignment="1">
      <alignment vertical="center"/>
    </xf>
    <xf numFmtId="166" fontId="15" fillId="6" borderId="1" xfId="0" applyNumberFormat="1" applyFont="1" applyFill="1" applyBorder="1" applyAlignment="1">
      <alignment horizontal="right" vertical="center" wrapText="1"/>
    </xf>
    <xf numFmtId="166" fontId="15" fillId="6" borderId="1" xfId="0" applyNumberFormat="1" applyFont="1" applyFill="1" applyBorder="1" applyAlignment="1">
      <alignment horizontal="right" vertical="center"/>
    </xf>
    <xf numFmtId="164" fontId="24" fillId="0" borderId="0" xfId="0" applyNumberFormat="1" applyFont="1" applyAlignment="1">
      <alignment vertical="center"/>
    </xf>
    <xf numFmtId="10" fontId="0" fillId="0" borderId="0" xfId="5" applyNumberFormat="1" applyFont="1"/>
    <xf numFmtId="0" fontId="14" fillId="6" borderId="0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vertical="center"/>
    </xf>
    <xf numFmtId="0" fontId="17" fillId="6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/>
    </xf>
    <xf numFmtId="0" fontId="13" fillId="2" borderId="54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/>
    </xf>
    <xf numFmtId="3" fontId="14" fillId="0" borderId="0" xfId="0" applyNumberFormat="1" applyFont="1" applyBorder="1" applyAlignment="1">
      <alignment horizontal="center" vertical="center"/>
    </xf>
    <xf numFmtId="43" fontId="25" fillId="0" borderId="0" xfId="0" applyNumberFormat="1" applyFont="1" applyAlignment="1">
      <alignment horizontal="center" vertical="center"/>
    </xf>
    <xf numFmtId="0" fontId="13" fillId="0" borderId="54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166" fontId="28" fillId="0" borderId="45" xfId="8" applyNumberFormat="1" applyFont="1" applyBorder="1" applyAlignment="1">
      <alignment vertical="center"/>
    </xf>
    <xf numFmtId="9" fontId="15" fillId="6" borderId="1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vertical="center" wrapText="1"/>
    </xf>
    <xf numFmtId="0" fontId="19" fillId="0" borderId="27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5" fillId="2" borderId="0" xfId="0" applyFont="1" applyFill="1" applyBorder="1" applyAlignment="1">
      <alignment horizontal="justify" vertical="center"/>
    </xf>
    <xf numFmtId="49" fontId="15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6" borderId="0" xfId="0" applyNumberFormat="1" applyFont="1" applyFill="1" applyBorder="1" applyAlignment="1">
      <alignment horizontal="center" vertical="center"/>
    </xf>
    <xf numFmtId="166" fontId="15" fillId="2" borderId="0" xfId="8" applyNumberFormat="1" applyFont="1" applyFill="1" applyBorder="1" applyAlignment="1">
      <alignment vertical="center"/>
    </xf>
    <xf numFmtId="164" fontId="15" fillId="2" borderId="0" xfId="8" applyFont="1" applyFill="1" applyBorder="1" applyAlignment="1">
      <alignment vertical="center"/>
    </xf>
    <xf numFmtId="3" fontId="17" fillId="0" borderId="0" xfId="0" applyNumberFormat="1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166" fontId="16" fillId="6" borderId="0" xfId="8" applyNumberFormat="1" applyFont="1" applyFill="1" applyBorder="1" applyAlignment="1">
      <alignment vertical="center"/>
    </xf>
    <xf numFmtId="166" fontId="17" fillId="0" borderId="0" xfId="0" applyNumberFormat="1" applyFont="1" applyBorder="1" applyAlignment="1">
      <alignment horizontal="center" vertical="center"/>
    </xf>
    <xf numFmtId="166" fontId="19" fillId="0" borderId="0" xfId="0" applyNumberFormat="1" applyFont="1" applyBorder="1" applyAlignment="1">
      <alignment horizontal="right" vertical="center"/>
    </xf>
    <xf numFmtId="43" fontId="19" fillId="0" borderId="0" xfId="0" applyNumberFormat="1" applyFont="1" applyBorder="1" applyAlignment="1">
      <alignment horizontal="center" vertical="center"/>
    </xf>
    <xf numFmtId="3" fontId="19" fillId="2" borderId="4" xfId="0" applyNumberFormat="1" applyFont="1" applyFill="1" applyBorder="1" applyAlignment="1">
      <alignment vertical="center"/>
    </xf>
    <xf numFmtId="3" fontId="19" fillId="2" borderId="53" xfId="0" applyNumberFormat="1" applyFont="1" applyFill="1" applyBorder="1" applyAlignment="1">
      <alignment vertical="center"/>
    </xf>
    <xf numFmtId="3" fontId="16" fillId="2" borderId="16" xfId="0" applyNumberFormat="1" applyFont="1" applyFill="1" applyBorder="1" applyAlignment="1">
      <alignment horizontal="right" vertical="center"/>
    </xf>
    <xf numFmtId="3" fontId="16" fillId="2" borderId="17" xfId="0" applyNumberFormat="1" applyFont="1" applyFill="1" applyBorder="1" applyAlignment="1">
      <alignment horizontal="right" vertical="center"/>
    </xf>
    <xf numFmtId="3" fontId="16" fillId="2" borderId="18" xfId="0" applyNumberFormat="1" applyFont="1" applyFill="1" applyBorder="1" applyAlignment="1">
      <alignment horizontal="right" vertical="center"/>
    </xf>
    <xf numFmtId="3" fontId="16" fillId="2" borderId="56" xfId="0" applyNumberFormat="1" applyFont="1" applyFill="1" applyBorder="1" applyAlignment="1">
      <alignment horizontal="right" vertical="center"/>
    </xf>
    <xf numFmtId="3" fontId="16" fillId="2" borderId="57" xfId="0" applyNumberFormat="1" applyFont="1" applyFill="1" applyBorder="1" applyAlignment="1">
      <alignment horizontal="right" vertical="center"/>
    </xf>
    <xf numFmtId="3" fontId="61" fillId="2" borderId="31" xfId="0" applyNumberFormat="1" applyFont="1" applyFill="1" applyBorder="1" applyAlignment="1">
      <alignment horizontal="right" vertical="center"/>
    </xf>
    <xf numFmtId="3" fontId="61" fillId="2" borderId="32" xfId="0" applyNumberFormat="1" applyFont="1" applyFill="1" applyBorder="1" applyAlignment="1">
      <alignment horizontal="right" vertical="center"/>
    </xf>
    <xf numFmtId="3" fontId="16" fillId="2" borderId="17" xfId="0" applyNumberFormat="1" applyFont="1" applyFill="1" applyBorder="1" applyAlignment="1">
      <alignment vertical="center"/>
    </xf>
    <xf numFmtId="3" fontId="16" fillId="2" borderId="19" xfId="0" applyNumberFormat="1" applyFont="1" applyFill="1" applyBorder="1" applyAlignment="1">
      <alignment horizontal="right" vertical="center"/>
    </xf>
    <xf numFmtId="3" fontId="16" fillId="2" borderId="20" xfId="0" applyNumberFormat="1" applyFont="1" applyFill="1" applyBorder="1" applyAlignment="1">
      <alignment horizontal="right" vertical="center"/>
    </xf>
    <xf numFmtId="166" fontId="16" fillId="2" borderId="58" xfId="8" applyNumberFormat="1" applyFont="1" applyFill="1" applyBorder="1" applyAlignment="1">
      <alignment horizontal="right" vertical="center"/>
    </xf>
    <xf numFmtId="166" fontId="16" fillId="2" borderId="12" xfId="8" applyNumberFormat="1" applyFont="1" applyFill="1" applyBorder="1" applyAlignment="1">
      <alignment horizontal="right" vertical="center"/>
    </xf>
    <xf numFmtId="164" fontId="16" fillId="2" borderId="0" xfId="8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horizontal="right" vertical="center" wrapText="1"/>
    </xf>
    <xf numFmtId="3" fontId="61" fillId="6" borderId="1" xfId="0" applyNumberFormat="1" applyFont="1" applyFill="1" applyBorder="1" applyAlignment="1">
      <alignment horizontal="right" vertical="center"/>
    </xf>
    <xf numFmtId="3" fontId="61" fillId="6" borderId="1" xfId="0" applyNumberFormat="1" applyFont="1" applyFill="1" applyBorder="1" applyAlignment="1">
      <alignment horizontal="right" vertical="center" wrapText="1"/>
    </xf>
    <xf numFmtId="3" fontId="16" fillId="6" borderId="1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right" vertical="center"/>
    </xf>
    <xf numFmtId="4" fontId="19" fillId="3" borderId="1" xfId="0" applyNumberFormat="1" applyFont="1" applyFill="1" applyBorder="1" applyAlignment="1">
      <alignment vertical="center" wrapText="1"/>
    </xf>
    <xf numFmtId="3" fontId="62" fillId="3" borderId="1" xfId="0" applyNumberFormat="1" applyFont="1" applyFill="1" applyBorder="1" applyAlignment="1">
      <alignment horizontal="right" vertical="center" wrapText="1"/>
    </xf>
    <xf numFmtId="0" fontId="16" fillId="2" borderId="0" xfId="0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/>
    </xf>
    <xf numFmtId="3" fontId="16" fillId="2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6" fontId="19" fillId="3" borderId="1" xfId="8" applyNumberFormat="1" applyFont="1" applyFill="1" applyBorder="1" applyAlignment="1">
      <alignment horizontal="right" vertical="center"/>
    </xf>
    <xf numFmtId="3" fontId="16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166" fontId="19" fillId="2" borderId="4" xfId="0" applyNumberFormat="1" applyFont="1" applyFill="1" applyBorder="1" applyAlignment="1">
      <alignment vertical="center" wrapText="1"/>
    </xf>
    <xf numFmtId="3" fontId="19" fillId="0" borderId="0" xfId="0" applyNumberFormat="1" applyFont="1" applyBorder="1" applyAlignment="1">
      <alignment vertical="center"/>
    </xf>
    <xf numFmtId="164" fontId="17" fillId="0" borderId="0" xfId="8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166" fontId="16" fillId="2" borderId="59" xfId="8" applyNumberFormat="1" applyFont="1" applyFill="1" applyBorder="1" applyAlignment="1">
      <alignment horizontal="right" vertical="center"/>
    </xf>
    <xf numFmtId="3" fontId="13" fillId="2" borderId="53" xfId="0" applyNumberFormat="1" applyFont="1" applyFill="1" applyBorder="1" applyAlignment="1">
      <alignment horizontal="right" vertical="center"/>
    </xf>
    <xf numFmtId="166" fontId="16" fillId="2" borderId="60" xfId="8" applyNumberFormat="1" applyFont="1" applyFill="1" applyBorder="1" applyAlignment="1">
      <alignment horizontal="right" vertical="center"/>
    </xf>
    <xf numFmtId="3" fontId="16" fillId="2" borderId="61" xfId="0" applyNumberFormat="1" applyFont="1" applyFill="1" applyBorder="1" applyAlignment="1">
      <alignment horizontal="right" vertical="center"/>
    </xf>
    <xf numFmtId="0" fontId="14" fillId="5" borderId="0" xfId="0" applyFont="1" applyFill="1" applyBorder="1" applyAlignment="1">
      <alignment vertical="center" wrapText="1"/>
    </xf>
    <xf numFmtId="3" fontId="14" fillId="5" borderId="0" xfId="0" applyNumberFormat="1" applyFont="1" applyFill="1" applyBorder="1" applyAlignment="1">
      <alignment horizontal="right" vertical="center" wrapText="1"/>
    </xf>
    <xf numFmtId="3" fontId="61" fillId="0" borderId="1" xfId="0" applyNumberFormat="1" applyFont="1" applyBorder="1" applyAlignment="1">
      <alignment horizontal="right" vertical="center" wrapText="1"/>
    </xf>
    <xf numFmtId="3" fontId="64" fillId="6" borderId="1" xfId="0" applyNumberFormat="1" applyFont="1" applyFill="1" applyBorder="1" applyAlignment="1">
      <alignment horizontal="right" vertical="center" wrapText="1"/>
    </xf>
    <xf numFmtId="3" fontId="16" fillId="6" borderId="1" xfId="0" applyNumberFormat="1" applyFont="1" applyFill="1" applyBorder="1" applyAlignment="1">
      <alignment horizontal="right" vertical="center" wrapText="1"/>
    </xf>
    <xf numFmtId="3" fontId="61" fillId="2" borderId="1" xfId="0" applyNumberFormat="1" applyFont="1" applyFill="1" applyBorder="1" applyAlignment="1">
      <alignment horizontal="right" vertical="center" wrapText="1"/>
    </xf>
    <xf numFmtId="3" fontId="61" fillId="0" borderId="0" xfId="0" applyNumberFormat="1" applyFont="1" applyBorder="1" applyAlignment="1">
      <alignment horizontal="right" vertical="center" wrapText="1"/>
    </xf>
    <xf numFmtId="3" fontId="16" fillId="2" borderId="0" xfId="0" applyNumberFormat="1" applyFont="1" applyFill="1" applyBorder="1" applyAlignment="1">
      <alignment horizontal="right" vertical="center" wrapText="1"/>
    </xf>
    <xf numFmtId="0" fontId="15" fillId="0" borderId="14" xfId="0" applyFont="1" applyBorder="1" applyAlignment="1">
      <alignment vertical="center"/>
    </xf>
    <xf numFmtId="0" fontId="15" fillId="0" borderId="62" xfId="0" applyFont="1" applyBorder="1" applyAlignment="1">
      <alignment vertical="center"/>
    </xf>
    <xf numFmtId="0" fontId="15" fillId="0" borderId="63" xfId="0" applyFont="1" applyBorder="1" applyAlignment="1">
      <alignment vertical="center"/>
    </xf>
    <xf numFmtId="9" fontId="55" fillId="6" borderId="1" xfId="0" applyNumberFormat="1" applyFont="1" applyFill="1" applyBorder="1" applyAlignment="1">
      <alignment horizontal="center" vertical="center" wrapText="1"/>
    </xf>
    <xf numFmtId="3" fontId="19" fillId="6" borderId="0" xfId="0" applyNumberFormat="1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vertical="center" wrapText="1"/>
    </xf>
    <xf numFmtId="3" fontId="14" fillId="6" borderId="1" xfId="0" applyNumberFormat="1" applyFont="1" applyFill="1" applyBorder="1" applyAlignment="1">
      <alignment horizontal="right" vertical="center" wrapText="1"/>
    </xf>
    <xf numFmtId="3" fontId="14" fillId="6" borderId="14" xfId="0" applyNumberFormat="1" applyFont="1" applyFill="1" applyBorder="1" applyAlignment="1">
      <alignment horizontal="right" vertical="center" wrapText="1"/>
    </xf>
    <xf numFmtId="166" fontId="14" fillId="5" borderId="1" xfId="8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3" fontId="16" fillId="6" borderId="18" xfId="0" applyNumberFormat="1" applyFont="1" applyFill="1" applyBorder="1" applyAlignment="1">
      <alignment horizontal="right" vertical="center"/>
    </xf>
    <xf numFmtId="164" fontId="16" fillId="0" borderId="0" xfId="8" applyFont="1" applyAlignment="1">
      <alignment horizontal="right" vertical="center"/>
    </xf>
    <xf numFmtId="164" fontId="16" fillId="0" borderId="0" xfId="8" applyFont="1" applyAlignment="1">
      <alignment horizontal="center" vertical="center"/>
    </xf>
    <xf numFmtId="164" fontId="19" fillId="0" borderId="0" xfId="0" applyNumberFormat="1" applyFont="1" applyBorder="1" applyAlignment="1">
      <alignment horizontal="center" vertical="center" wrapText="1"/>
    </xf>
    <xf numFmtId="0" fontId="11" fillId="2" borderId="54" xfId="0" applyFont="1" applyFill="1" applyBorder="1" applyAlignment="1">
      <alignment vertical="center" wrapText="1"/>
    </xf>
    <xf numFmtId="164" fontId="25" fillId="2" borderId="54" xfId="8" applyFont="1" applyFill="1" applyBorder="1" applyAlignment="1">
      <alignment vertical="center" wrapText="1"/>
    </xf>
    <xf numFmtId="49" fontId="56" fillId="3" borderId="1" xfId="0" applyNumberFormat="1" applyFont="1" applyFill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9" fillId="6" borderId="1" xfId="0" applyFont="1" applyFill="1" applyBorder="1" applyAlignment="1">
      <alignment horizontal="left" vertical="center" wrapText="1"/>
    </xf>
    <xf numFmtId="0" fontId="59" fillId="6" borderId="1" xfId="0" applyFont="1" applyFill="1" applyBorder="1" applyAlignment="1">
      <alignment horizontal="center" vertical="center"/>
    </xf>
    <xf numFmtId="49" fontId="59" fillId="6" borderId="1" xfId="0" applyNumberFormat="1" applyFont="1" applyFill="1" applyBorder="1" applyAlignment="1">
      <alignment horizontal="center" vertical="center"/>
    </xf>
    <xf numFmtId="0" fontId="59" fillId="6" borderId="1" xfId="0" applyFont="1" applyFill="1" applyBorder="1" applyAlignment="1">
      <alignment horizontal="center" vertical="center" wrapText="1"/>
    </xf>
    <xf numFmtId="9" fontId="59" fillId="6" borderId="1" xfId="5" applyFont="1" applyFill="1" applyBorder="1" applyAlignment="1">
      <alignment horizontal="center" vertical="center" wrapText="1"/>
    </xf>
    <xf numFmtId="3" fontId="64" fillId="6" borderId="1" xfId="0" applyNumberFormat="1" applyFont="1" applyFill="1" applyBorder="1" applyAlignment="1">
      <alignment horizontal="right" vertical="center"/>
    </xf>
    <xf numFmtId="0" fontId="59" fillId="6" borderId="1" xfId="0" applyFont="1" applyFill="1" applyBorder="1" applyAlignment="1">
      <alignment horizontal="justify" vertical="center" wrapText="1"/>
    </xf>
    <xf numFmtId="0" fontId="56" fillId="6" borderId="1" xfId="0" applyFont="1" applyFill="1" applyBorder="1" applyAlignment="1">
      <alignment horizontal="center" vertical="center"/>
    </xf>
    <xf numFmtId="0" fontId="59" fillId="6" borderId="1" xfId="0" applyFont="1" applyFill="1" applyBorder="1" applyAlignment="1">
      <alignment vertical="center" wrapText="1"/>
    </xf>
    <xf numFmtId="0" fontId="59" fillId="6" borderId="1" xfId="0" applyFont="1" applyFill="1" applyBorder="1" applyAlignment="1">
      <alignment vertical="center"/>
    </xf>
    <xf numFmtId="9" fontId="59" fillId="6" borderId="1" xfId="0" applyNumberFormat="1" applyFont="1" applyFill="1" applyBorder="1" applyAlignment="1">
      <alignment horizontal="center" vertical="center" wrapText="1"/>
    </xf>
    <xf numFmtId="4" fontId="59" fillId="2" borderId="1" xfId="0" applyNumberFormat="1" applyFont="1" applyFill="1" applyBorder="1" applyAlignment="1">
      <alignment horizontal="right" vertical="center" wrapText="1"/>
    </xf>
    <xf numFmtId="0" fontId="59" fillId="6" borderId="1" xfId="3" applyFont="1" applyFill="1" applyBorder="1" applyAlignment="1">
      <alignment horizontal="left" vertical="center" wrapText="1"/>
    </xf>
    <xf numFmtId="49" fontId="59" fillId="6" borderId="1" xfId="3" applyNumberFormat="1" applyFont="1" applyFill="1" applyBorder="1" applyAlignment="1">
      <alignment horizontal="center" vertical="center"/>
    </xf>
    <xf numFmtId="0" fontId="59" fillId="6" borderId="1" xfId="3" applyFont="1" applyFill="1" applyBorder="1" applyAlignment="1">
      <alignment horizontal="center" vertical="center" wrapText="1"/>
    </xf>
    <xf numFmtId="0" fontId="59" fillId="6" borderId="1" xfId="3" applyFont="1" applyFill="1" applyBorder="1" applyAlignment="1">
      <alignment horizontal="justify" vertical="center" wrapText="1"/>
    </xf>
    <xf numFmtId="0" fontId="65" fillId="2" borderId="1" xfId="0" applyFont="1" applyFill="1" applyBorder="1" applyAlignment="1">
      <alignment horizontal="center" vertical="center"/>
    </xf>
    <xf numFmtId="0" fontId="65" fillId="6" borderId="1" xfId="0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justify" vertical="center" wrapText="1"/>
    </xf>
    <xf numFmtId="0" fontId="59" fillId="3" borderId="1" xfId="0" applyFont="1" applyFill="1" applyBorder="1" applyAlignment="1">
      <alignment horizontal="center" vertical="center"/>
    </xf>
    <xf numFmtId="4" fontId="56" fillId="3" borderId="1" xfId="0" applyNumberFormat="1" applyFont="1" applyFill="1" applyBorder="1" applyAlignment="1">
      <alignment horizontal="center" vertical="center" wrapText="1"/>
    </xf>
    <xf numFmtId="49" fontId="24" fillId="8" borderId="64" xfId="0" applyNumberFormat="1" applyFont="1" applyFill="1" applyBorder="1" applyAlignment="1">
      <alignment horizontal="center" vertical="center"/>
    </xf>
    <xf numFmtId="49" fontId="24" fillId="8" borderId="65" xfId="0" applyNumberFormat="1" applyFont="1" applyFill="1" applyBorder="1" applyAlignment="1">
      <alignment horizontal="center" vertical="center"/>
    </xf>
    <xf numFmtId="49" fontId="24" fillId="8" borderId="66" xfId="0" applyNumberFormat="1" applyFont="1" applyFill="1" applyBorder="1" applyAlignment="1">
      <alignment horizontal="center" vertical="center" wrapText="1"/>
    </xf>
    <xf numFmtId="49" fontId="24" fillId="8" borderId="22" xfId="0" applyNumberFormat="1" applyFont="1" applyFill="1" applyBorder="1" applyAlignment="1">
      <alignment horizontal="center" vertical="center" wrapText="1"/>
    </xf>
    <xf numFmtId="49" fontId="15" fillId="8" borderId="22" xfId="0" applyNumberFormat="1" applyFont="1" applyFill="1" applyBorder="1" applyAlignment="1">
      <alignment horizontal="center" vertical="center"/>
    </xf>
    <xf numFmtId="49" fontId="15" fillId="8" borderId="66" xfId="0" applyNumberFormat="1" applyFont="1" applyFill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justify" vertical="center"/>
    </xf>
    <xf numFmtId="166" fontId="16" fillId="6" borderId="1" xfId="0" applyNumberFormat="1" applyFont="1" applyFill="1" applyBorder="1" applyAlignment="1">
      <alignment horizontal="right" vertical="center"/>
    </xf>
    <xf numFmtId="166" fontId="19" fillId="3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Border="1" applyAlignment="1">
      <alignment horizontal="center" vertical="center"/>
    </xf>
    <xf numFmtId="3" fontId="16" fillId="6" borderId="0" xfId="0" applyNumberFormat="1" applyFont="1" applyFill="1" applyBorder="1" applyAlignment="1">
      <alignment horizontal="right" vertical="center"/>
    </xf>
    <xf numFmtId="3" fontId="16" fillId="9" borderId="1" xfId="0" applyNumberFormat="1" applyFont="1" applyFill="1" applyBorder="1" applyAlignment="1">
      <alignment horizontal="right" vertical="center" wrapText="1"/>
    </xf>
    <xf numFmtId="166" fontId="11" fillId="10" borderId="0" xfId="8" applyNumberFormat="1" applyFont="1" applyFill="1" applyBorder="1" applyAlignment="1">
      <alignment vertical="center"/>
    </xf>
    <xf numFmtId="166" fontId="11" fillId="10" borderId="0" xfId="8" applyNumberFormat="1" applyFont="1" applyFill="1" applyAlignment="1">
      <alignment vertical="center"/>
    </xf>
    <xf numFmtId="0" fontId="6" fillId="10" borderId="0" xfId="0" applyFont="1" applyFill="1" applyAlignment="1">
      <alignment vertical="center"/>
    </xf>
    <xf numFmtId="3" fontId="39" fillId="6" borderId="1" xfId="0" applyNumberFormat="1" applyFont="1" applyFill="1" applyBorder="1" applyAlignment="1">
      <alignment horizontal="right" vertical="center"/>
    </xf>
    <xf numFmtId="0" fontId="38" fillId="0" borderId="14" xfId="0" applyFont="1" applyBorder="1" applyAlignment="1">
      <alignment vertical="center"/>
    </xf>
    <xf numFmtId="0" fontId="38" fillId="0" borderId="62" xfId="0" applyFont="1" applyBorder="1" applyAlignment="1">
      <alignment vertical="center"/>
    </xf>
    <xf numFmtId="0" fontId="38" fillId="0" borderId="63" xfId="0" applyFont="1" applyBorder="1" applyAlignment="1">
      <alignment vertical="center"/>
    </xf>
    <xf numFmtId="3" fontId="40" fillId="0" borderId="67" xfId="0" applyNumberFormat="1" applyFont="1" applyBorder="1" applyAlignment="1">
      <alignment horizontal="center" vertical="center"/>
    </xf>
    <xf numFmtId="0" fontId="14" fillId="10" borderId="14" xfId="0" applyFont="1" applyFill="1" applyBorder="1" applyAlignment="1">
      <alignment vertical="center" wrapText="1"/>
    </xf>
    <xf numFmtId="3" fontId="37" fillId="10" borderId="68" xfId="0" applyNumberFormat="1" applyFont="1" applyFill="1" applyBorder="1" applyAlignment="1">
      <alignment horizontal="right" vertical="center" wrapText="1"/>
    </xf>
    <xf numFmtId="3" fontId="19" fillId="10" borderId="68" xfId="0" applyNumberFormat="1" applyFont="1" applyFill="1" applyBorder="1" applyAlignment="1">
      <alignment horizontal="right" vertical="center" wrapText="1"/>
    </xf>
    <xf numFmtId="0" fontId="37" fillId="6" borderId="1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vertical="center"/>
    </xf>
    <xf numFmtId="0" fontId="39" fillId="6" borderId="1" xfId="0" applyFont="1" applyFill="1" applyBorder="1" applyAlignment="1">
      <alignment horizontal="center" vertical="center"/>
    </xf>
    <xf numFmtId="49" fontId="39" fillId="6" borderId="1" xfId="0" applyNumberFormat="1" applyFont="1" applyFill="1" applyBorder="1" applyAlignment="1">
      <alignment horizontal="center" vertical="center"/>
    </xf>
    <xf numFmtId="4" fontId="39" fillId="6" borderId="1" xfId="0" applyNumberFormat="1" applyFont="1" applyFill="1" applyBorder="1" applyAlignment="1">
      <alignment horizontal="justify" vertical="center"/>
    </xf>
    <xf numFmtId="0" fontId="39" fillId="6" borderId="1" xfId="0" applyFont="1" applyFill="1" applyBorder="1" applyAlignment="1">
      <alignment horizontal="justify" vertical="center"/>
    </xf>
    <xf numFmtId="9" fontId="39" fillId="6" borderId="1" xfId="0" applyNumberFormat="1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justify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left" vertical="center" wrapText="1"/>
    </xf>
    <xf numFmtId="9" fontId="39" fillId="6" borderId="1" xfId="5" applyFont="1" applyFill="1" applyBorder="1" applyAlignment="1">
      <alignment horizontal="center" vertical="center" wrapText="1"/>
    </xf>
    <xf numFmtId="1" fontId="39" fillId="6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3" fontId="16" fillId="10" borderId="1" xfId="0" applyNumberFormat="1" applyFont="1" applyFill="1" applyBorder="1" applyAlignment="1">
      <alignment horizontal="right" vertical="center"/>
    </xf>
    <xf numFmtId="166" fontId="16" fillId="0" borderId="0" xfId="8" applyNumberFormat="1" applyFont="1" applyAlignment="1">
      <alignment vertical="center"/>
    </xf>
    <xf numFmtId="0" fontId="32" fillId="10" borderId="1" xfId="0" applyFont="1" applyFill="1" applyBorder="1" applyAlignment="1">
      <alignment horizontal="center" vertical="center" wrapText="1"/>
    </xf>
    <xf numFmtId="0" fontId="40" fillId="10" borderId="1" xfId="0" applyFont="1" applyFill="1" applyBorder="1" applyAlignment="1">
      <alignment horizontal="center" vertical="center" wrapText="1"/>
    </xf>
    <xf numFmtId="166" fontId="25" fillId="10" borderId="0" xfId="8" applyNumberFormat="1" applyFont="1" applyFill="1" applyBorder="1" applyAlignment="1">
      <alignment vertical="center"/>
    </xf>
    <xf numFmtId="166" fontId="25" fillId="10" borderId="0" xfId="8" applyNumberFormat="1" applyFont="1" applyFill="1" applyAlignment="1">
      <alignment vertical="center"/>
    </xf>
    <xf numFmtId="0" fontId="25" fillId="10" borderId="0" xfId="0" applyFont="1" applyFill="1" applyAlignment="1">
      <alignment vertical="center"/>
    </xf>
    <xf numFmtId="0" fontId="32" fillId="11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left" vertical="center" wrapText="1"/>
    </xf>
    <xf numFmtId="0" fontId="40" fillId="11" borderId="1" xfId="0" applyFont="1" applyFill="1" applyBorder="1" applyAlignment="1">
      <alignment horizontal="center" vertical="center" wrapText="1"/>
    </xf>
    <xf numFmtId="49" fontId="40" fillId="11" borderId="1" xfId="0" applyNumberFormat="1" applyFont="1" applyFill="1" applyBorder="1" applyAlignment="1">
      <alignment horizontal="center" vertical="center" wrapText="1"/>
    </xf>
    <xf numFmtId="3" fontId="40" fillId="11" borderId="1" xfId="0" applyNumberFormat="1" applyFont="1" applyFill="1" applyBorder="1" applyAlignment="1">
      <alignment horizontal="right" vertical="center" wrapText="1"/>
    </xf>
    <xf numFmtId="3" fontId="32" fillId="11" borderId="1" xfId="0" applyNumberFormat="1" applyFont="1" applyFill="1" applyBorder="1" applyAlignment="1">
      <alignment horizontal="right" vertical="center" wrapText="1"/>
    </xf>
    <xf numFmtId="166" fontId="25" fillId="11" borderId="0" xfId="8" applyNumberFormat="1" applyFont="1" applyFill="1" applyBorder="1" applyAlignment="1">
      <alignment vertical="center"/>
    </xf>
    <xf numFmtId="166" fontId="25" fillId="11" borderId="0" xfId="8" applyNumberFormat="1" applyFont="1" applyFill="1" applyAlignment="1">
      <alignment vertical="center"/>
    </xf>
    <xf numFmtId="0" fontId="25" fillId="11" borderId="0" xfId="0" applyFont="1" applyFill="1" applyAlignment="1">
      <alignment vertical="center"/>
    </xf>
    <xf numFmtId="0" fontId="25" fillId="11" borderId="1" xfId="0" applyFont="1" applyFill="1" applyBorder="1" applyAlignment="1">
      <alignment horizontal="center" vertical="center"/>
    </xf>
    <xf numFmtId="0" fontId="41" fillId="11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justify" vertical="center" wrapText="1"/>
    </xf>
    <xf numFmtId="4" fontId="40" fillId="11" borderId="1" xfId="0" applyNumberFormat="1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9" fillId="8" borderId="52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166" fontId="32" fillId="0" borderId="1" xfId="8" applyNumberFormat="1" applyFont="1" applyBorder="1" applyAlignment="1">
      <alignment horizontal="center" vertical="center"/>
    </xf>
    <xf numFmtId="166" fontId="8" fillId="0" borderId="63" xfId="8" applyNumberFormat="1" applyFont="1" applyBorder="1" applyAlignment="1">
      <alignment horizontal="center" vertical="center"/>
    </xf>
    <xf numFmtId="9" fontId="19" fillId="0" borderId="1" xfId="5" applyFont="1" applyBorder="1" applyAlignment="1">
      <alignment horizontal="center" vertical="center"/>
    </xf>
    <xf numFmtId="166" fontId="8" fillId="0" borderId="14" xfId="8" applyNumberFormat="1" applyFont="1" applyBorder="1" applyAlignment="1">
      <alignment horizontal="center" vertical="center"/>
    </xf>
    <xf numFmtId="4" fontId="39" fillId="6" borderId="1" xfId="0" applyNumberFormat="1" applyFont="1" applyFill="1" applyBorder="1" applyAlignment="1">
      <alignment horizontal="center" vertical="center"/>
    </xf>
    <xf numFmtId="4" fontId="39" fillId="6" borderId="1" xfId="0" applyNumberFormat="1" applyFont="1" applyFill="1" applyBorder="1" applyAlignment="1">
      <alignment horizontal="left" vertical="center" wrapText="1"/>
    </xf>
    <xf numFmtId="4" fontId="39" fillId="6" borderId="1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/>
    </xf>
    <xf numFmtId="0" fontId="37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horizontal="left" vertical="center" wrapText="1"/>
    </xf>
    <xf numFmtId="0" fontId="39" fillId="6" borderId="0" xfId="0" applyFont="1" applyFill="1" applyBorder="1" applyAlignment="1">
      <alignment horizontal="center" vertical="center"/>
    </xf>
    <xf numFmtId="49" fontId="39" fillId="6" borderId="0" xfId="0" applyNumberFormat="1" applyFont="1" applyFill="1" applyBorder="1" applyAlignment="1">
      <alignment horizontal="center" vertical="center"/>
    </xf>
    <xf numFmtId="4" fontId="39" fillId="6" borderId="0" xfId="0" applyNumberFormat="1" applyFont="1" applyFill="1" applyBorder="1" applyAlignment="1">
      <alignment horizontal="center" vertical="center" wrapText="1"/>
    </xf>
    <xf numFmtId="0" fontId="39" fillId="6" borderId="0" xfId="0" applyFont="1" applyFill="1" applyBorder="1" applyAlignment="1">
      <alignment horizontal="justify" vertical="center" wrapText="1"/>
    </xf>
    <xf numFmtId="0" fontId="39" fillId="6" borderId="0" xfId="0" applyFont="1" applyFill="1" applyBorder="1" applyAlignment="1">
      <alignment horizontal="center" vertical="center" wrapText="1"/>
    </xf>
    <xf numFmtId="3" fontId="39" fillId="6" borderId="0" xfId="0" applyNumberFormat="1" applyFont="1" applyFill="1" applyBorder="1" applyAlignment="1">
      <alignment horizontal="right" vertical="center"/>
    </xf>
    <xf numFmtId="3" fontId="15" fillId="6" borderId="0" xfId="0" applyNumberFormat="1" applyFont="1" applyFill="1" applyBorder="1" applyAlignment="1">
      <alignment horizontal="right" vertical="center"/>
    </xf>
    <xf numFmtId="0" fontId="42" fillId="2" borderId="0" xfId="0" applyFont="1" applyFill="1" applyBorder="1" applyAlignment="1">
      <alignment horizontal="center" vertical="center" wrapText="1"/>
    </xf>
    <xf numFmtId="49" fontId="14" fillId="12" borderId="1" xfId="0" applyNumberFormat="1" applyFont="1" applyFill="1" applyBorder="1" applyAlignment="1">
      <alignment horizontal="center" vertical="center"/>
    </xf>
    <xf numFmtId="0" fontId="45" fillId="12" borderId="1" xfId="0" applyFont="1" applyFill="1" applyBorder="1" applyAlignment="1">
      <alignment horizontal="left" vertical="center"/>
    </xf>
    <xf numFmtId="0" fontId="40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3" fontId="44" fillId="12" borderId="68" xfId="0" applyNumberFormat="1" applyFont="1" applyFill="1" applyBorder="1" applyAlignment="1">
      <alignment horizontal="right" vertical="center" wrapText="1"/>
    </xf>
    <xf numFmtId="3" fontId="19" fillId="12" borderId="1" xfId="0" applyNumberFormat="1" applyFont="1" applyFill="1" applyBorder="1" applyAlignment="1">
      <alignment horizontal="right" vertical="center"/>
    </xf>
    <xf numFmtId="0" fontId="6" fillId="12" borderId="0" xfId="0" applyFont="1" applyFill="1" applyAlignment="1">
      <alignment vertical="center"/>
    </xf>
    <xf numFmtId="3" fontId="46" fillId="11" borderId="1" xfId="0" applyNumberFormat="1" applyFont="1" applyFill="1" applyBorder="1" applyAlignment="1">
      <alignment horizontal="right" vertical="center" wrapText="1"/>
    </xf>
    <xf numFmtId="166" fontId="41" fillId="0" borderId="0" xfId="8" applyNumberFormat="1" applyFont="1" applyBorder="1" applyAlignment="1">
      <alignment vertical="center"/>
    </xf>
    <xf numFmtId="166" fontId="41" fillId="0" borderId="0" xfId="8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40" fillId="10" borderId="2" xfId="0" applyFont="1" applyFill="1" applyBorder="1" applyAlignment="1">
      <alignment vertical="center" wrapText="1"/>
    </xf>
    <xf numFmtId="0" fontId="40" fillId="10" borderId="6" xfId="0" applyFont="1" applyFill="1" applyBorder="1" applyAlignment="1">
      <alignment vertical="center" wrapText="1"/>
    </xf>
    <xf numFmtId="0" fontId="40" fillId="10" borderId="54" xfId="0" applyFont="1" applyFill="1" applyBorder="1" applyAlignment="1">
      <alignment vertical="center" wrapText="1"/>
    </xf>
    <xf numFmtId="0" fontId="40" fillId="10" borderId="69" xfId="0" applyFont="1" applyFill="1" applyBorder="1" applyAlignment="1">
      <alignment vertical="center" wrapText="1"/>
    </xf>
    <xf numFmtId="166" fontId="41" fillId="10" borderId="0" xfId="8" applyNumberFormat="1" applyFont="1" applyFill="1" applyBorder="1" applyAlignment="1">
      <alignment vertical="center"/>
    </xf>
    <xf numFmtId="166" fontId="41" fillId="10" borderId="0" xfId="8" applyNumberFormat="1" applyFont="1" applyFill="1" applyAlignment="1">
      <alignment vertical="center"/>
    </xf>
    <xf numFmtId="0" fontId="41" fillId="10" borderId="0" xfId="0" applyFont="1" applyFill="1" applyAlignment="1">
      <alignment vertical="center"/>
    </xf>
    <xf numFmtId="0" fontId="40" fillId="10" borderId="70" xfId="0" applyFont="1" applyFill="1" applyBorder="1" applyAlignment="1">
      <alignment horizontal="center" vertical="center" wrapText="1"/>
    </xf>
    <xf numFmtId="0" fontId="40" fillId="10" borderId="71" xfId="0" applyFont="1" applyFill="1" applyBorder="1" applyAlignment="1">
      <alignment horizontal="center" vertical="center" wrapText="1"/>
    </xf>
    <xf numFmtId="0" fontId="40" fillId="10" borderId="2" xfId="0" applyFont="1" applyFill="1" applyBorder="1" applyAlignment="1">
      <alignment horizontal="center" vertical="center" wrapText="1"/>
    </xf>
    <xf numFmtId="49" fontId="41" fillId="2" borderId="8" xfId="0" applyNumberFormat="1" applyFont="1" applyFill="1" applyBorder="1" applyAlignment="1">
      <alignment horizontal="center" vertical="center"/>
    </xf>
    <xf numFmtId="49" fontId="41" fillId="2" borderId="72" xfId="0" applyNumberFormat="1" applyFont="1" applyFill="1" applyBorder="1" applyAlignment="1">
      <alignment horizontal="center" vertical="center"/>
    </xf>
    <xf numFmtId="0" fontId="41" fillId="2" borderId="73" xfId="0" applyFont="1" applyFill="1" applyBorder="1" applyAlignment="1">
      <alignment horizontal="center" vertical="center"/>
    </xf>
    <xf numFmtId="0" fontId="41" fillId="2" borderId="74" xfId="0" applyFont="1" applyFill="1" applyBorder="1" applyAlignment="1">
      <alignment horizontal="center" vertical="center"/>
    </xf>
    <xf numFmtId="3" fontId="41" fillId="2" borderId="75" xfId="0" applyNumberFormat="1" applyFont="1" applyFill="1" applyBorder="1" applyAlignment="1">
      <alignment vertical="center"/>
    </xf>
    <xf numFmtId="0" fontId="40" fillId="11" borderId="76" xfId="0" applyFont="1" applyFill="1" applyBorder="1" applyAlignment="1">
      <alignment horizontal="center" vertical="center"/>
    </xf>
    <xf numFmtId="0" fontId="40" fillId="11" borderId="2" xfId="0" applyFont="1" applyFill="1" applyBorder="1" applyAlignment="1">
      <alignment horizontal="center" vertical="center"/>
    </xf>
    <xf numFmtId="0" fontId="40" fillId="11" borderId="77" xfId="0" applyFont="1" applyFill="1" applyBorder="1" applyAlignment="1">
      <alignment horizontal="center" vertical="center" wrapText="1"/>
    </xf>
    <xf numFmtId="49" fontId="40" fillId="11" borderId="78" xfId="0" applyNumberFormat="1" applyFont="1" applyFill="1" applyBorder="1" applyAlignment="1">
      <alignment horizontal="center" vertical="center" wrapText="1"/>
    </xf>
    <xf numFmtId="3" fontId="40" fillId="11" borderId="71" xfId="0" applyNumberFormat="1" applyFont="1" applyFill="1" applyBorder="1" applyAlignment="1">
      <alignment vertical="center"/>
    </xf>
    <xf numFmtId="166" fontId="41" fillId="11" borderId="0" xfId="8" applyNumberFormat="1" applyFont="1" applyFill="1" applyBorder="1" applyAlignment="1">
      <alignment vertical="center"/>
    </xf>
    <xf numFmtId="166" fontId="41" fillId="11" borderId="0" xfId="8" applyNumberFormat="1" applyFont="1" applyFill="1" applyAlignment="1">
      <alignment vertical="center"/>
    </xf>
    <xf numFmtId="0" fontId="41" fillId="11" borderId="0" xfId="0" applyFont="1" applyFill="1" applyAlignment="1">
      <alignment vertical="center"/>
    </xf>
    <xf numFmtId="49" fontId="14" fillId="13" borderId="1" xfId="0" applyNumberFormat="1" applyFont="1" applyFill="1" applyBorder="1" applyAlignment="1">
      <alignment horizontal="center" vertical="center"/>
    </xf>
    <xf numFmtId="0" fontId="43" fillId="13" borderId="1" xfId="0" applyFont="1" applyFill="1" applyBorder="1" applyAlignment="1">
      <alignment horizontal="left" vertical="center"/>
    </xf>
    <xf numFmtId="0" fontId="14" fillId="13" borderId="1" xfId="0" applyFont="1" applyFill="1" applyBorder="1" applyAlignment="1">
      <alignment horizontal="left" vertical="center"/>
    </xf>
    <xf numFmtId="0" fontId="40" fillId="13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3" fontId="44" fillId="13" borderId="68" xfId="0" applyNumberFormat="1" applyFont="1" applyFill="1" applyBorder="1" applyAlignment="1">
      <alignment horizontal="right" vertical="center" wrapText="1"/>
    </xf>
    <xf numFmtId="3" fontId="19" fillId="13" borderId="1" xfId="0" applyNumberFormat="1" applyFont="1" applyFill="1" applyBorder="1" applyAlignment="1">
      <alignment horizontal="right" vertical="center"/>
    </xf>
    <xf numFmtId="0" fontId="6" fillId="13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164" fontId="13" fillId="0" borderId="0" xfId="8" applyFont="1" applyAlignment="1">
      <alignment vertical="center"/>
    </xf>
    <xf numFmtId="166" fontId="13" fillId="0" borderId="0" xfId="8" applyNumberFormat="1" applyFont="1" applyBorder="1" applyAlignment="1">
      <alignment vertical="center"/>
    </xf>
    <xf numFmtId="166" fontId="13" fillId="0" borderId="0" xfId="8" applyNumberFormat="1" applyFont="1" applyAlignment="1">
      <alignment vertical="center"/>
    </xf>
    <xf numFmtId="0" fontId="43" fillId="13" borderId="1" xfId="0" applyFont="1" applyFill="1" applyBorder="1" applyAlignment="1">
      <alignment horizontal="left" vertical="center" wrapText="1"/>
    </xf>
    <xf numFmtId="167" fontId="39" fillId="6" borderId="1" xfId="0" applyNumberFormat="1" applyFont="1" applyFill="1" applyBorder="1" applyAlignment="1">
      <alignment horizontal="left" vertical="center" wrapText="1"/>
    </xf>
    <xf numFmtId="9" fontId="40" fillId="11" borderId="1" xfId="5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vertical="center" wrapText="1"/>
    </xf>
    <xf numFmtId="0" fontId="36" fillId="6" borderId="0" xfId="0" applyFont="1" applyFill="1" applyBorder="1" applyAlignment="1">
      <alignment horizontal="center" vertical="center" wrapText="1"/>
    </xf>
    <xf numFmtId="0" fontId="36" fillId="6" borderId="4" xfId="0" applyFont="1" applyFill="1" applyBorder="1" applyAlignment="1">
      <alignment horizontal="center" vertical="center" wrapText="1"/>
    </xf>
    <xf numFmtId="3" fontId="37" fillId="6" borderId="4" xfId="0" applyNumberFormat="1" applyFont="1" applyFill="1" applyBorder="1" applyAlignment="1">
      <alignment horizontal="right" vertical="center" wrapText="1"/>
    </xf>
    <xf numFmtId="3" fontId="19" fillId="6" borderId="4" xfId="0" applyNumberFormat="1" applyFont="1" applyFill="1" applyBorder="1" applyAlignment="1">
      <alignment horizontal="right" vertical="center" wrapText="1"/>
    </xf>
    <xf numFmtId="166" fontId="11" fillId="6" borderId="0" xfId="8" applyNumberFormat="1" applyFont="1" applyFill="1" applyAlignment="1">
      <alignment vertical="center"/>
    </xf>
    <xf numFmtId="3" fontId="37" fillId="6" borderId="0" xfId="0" applyNumberFormat="1" applyFont="1" applyFill="1" applyBorder="1" applyAlignment="1">
      <alignment horizontal="right" vertical="center" wrapText="1"/>
    </xf>
    <xf numFmtId="0" fontId="13" fillId="2" borderId="54" xfId="0" applyFont="1" applyFill="1" applyBorder="1" applyAlignment="1">
      <alignment horizontal="left" vertical="center" wrapText="1"/>
    </xf>
    <xf numFmtId="0" fontId="16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/>
    </xf>
    <xf numFmtId="3" fontId="13" fillId="6" borderId="0" xfId="0" applyNumberFormat="1" applyFont="1" applyFill="1" applyBorder="1" applyAlignment="1">
      <alignment horizontal="right" vertical="center"/>
    </xf>
    <xf numFmtId="166" fontId="39" fillId="6" borderId="1" xfId="8" applyNumberFormat="1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vertical="center" wrapText="1"/>
    </xf>
    <xf numFmtId="3" fontId="37" fillId="10" borderId="70" xfId="0" applyNumberFormat="1" applyFont="1" applyFill="1" applyBorder="1" applyAlignment="1">
      <alignment horizontal="right" vertical="center" wrapText="1"/>
    </xf>
    <xf numFmtId="3" fontId="19" fillId="10" borderId="70" xfId="0" applyNumberFormat="1" applyFont="1" applyFill="1" applyBorder="1" applyAlignment="1">
      <alignment horizontal="right" vertical="center" wrapText="1"/>
    </xf>
    <xf numFmtId="164" fontId="13" fillId="2" borderId="54" xfId="8" applyFont="1" applyFill="1" applyBorder="1" applyAlignment="1">
      <alignment vertical="center" wrapText="1"/>
    </xf>
    <xf numFmtId="49" fontId="40" fillId="11" borderId="77" xfId="0" applyNumberFormat="1" applyFont="1" applyFill="1" applyBorder="1" applyAlignment="1">
      <alignment horizontal="center" vertical="center" wrapText="1"/>
    </xf>
    <xf numFmtId="49" fontId="41" fillId="2" borderId="73" xfId="0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left" vertical="center"/>
    </xf>
    <xf numFmtId="0" fontId="39" fillId="6" borderId="79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/>
    </xf>
    <xf numFmtId="166" fontId="8" fillId="0" borderId="1" xfId="8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39" fillId="6" borderId="79" xfId="0" applyFont="1" applyFill="1" applyBorder="1" applyAlignment="1">
      <alignment horizontal="center" vertical="center" wrapText="1"/>
    </xf>
    <xf numFmtId="166" fontId="33" fillId="0" borderId="0" xfId="8" applyNumberFormat="1" applyFont="1" applyBorder="1" applyAlignment="1">
      <alignment vertical="center"/>
    </xf>
    <xf numFmtId="166" fontId="27" fillId="2" borderId="0" xfId="8" applyNumberFormat="1" applyFont="1" applyFill="1" applyBorder="1" applyAlignment="1">
      <alignment vertical="center"/>
    </xf>
    <xf numFmtId="166" fontId="33" fillId="0" borderId="0" xfId="8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166" fontId="33" fillId="0" borderId="1" xfId="8" applyNumberFormat="1" applyFont="1" applyBorder="1" applyAlignment="1">
      <alignment horizontal="center" vertical="center"/>
    </xf>
    <xf numFmtId="166" fontId="27" fillId="10" borderId="0" xfId="8" applyNumberFormat="1" applyFont="1" applyFill="1" applyBorder="1" applyAlignment="1">
      <alignment vertical="center"/>
    </xf>
    <xf numFmtId="166" fontId="27" fillId="11" borderId="0" xfId="8" applyNumberFormat="1" applyFont="1" applyFill="1" applyBorder="1" applyAlignment="1">
      <alignment vertical="center"/>
    </xf>
    <xf numFmtId="0" fontId="27" fillId="12" borderId="0" xfId="0" applyFont="1" applyFill="1" applyAlignment="1">
      <alignment vertical="center"/>
    </xf>
    <xf numFmtId="166" fontId="67" fillId="10" borderId="0" xfId="8" applyNumberFormat="1" applyFont="1" applyFill="1" applyBorder="1" applyAlignment="1">
      <alignment vertical="center"/>
    </xf>
    <xf numFmtId="166" fontId="67" fillId="11" borderId="0" xfId="8" applyNumberFormat="1" applyFont="1" applyFill="1" applyBorder="1" applyAlignment="1">
      <alignment vertical="center"/>
    </xf>
    <xf numFmtId="166" fontId="67" fillId="0" borderId="0" xfId="8" applyNumberFormat="1" applyFont="1" applyBorder="1" applyAlignment="1">
      <alignment vertical="center"/>
    </xf>
    <xf numFmtId="166" fontId="27" fillId="6" borderId="0" xfId="8" applyNumberFormat="1" applyFont="1" applyFill="1" applyBorder="1" applyAlignment="1">
      <alignment vertical="center"/>
    </xf>
    <xf numFmtId="9" fontId="27" fillId="8" borderId="50" xfId="5" applyFont="1" applyFill="1" applyBorder="1" applyAlignment="1">
      <alignment vertical="center"/>
    </xf>
    <xf numFmtId="9" fontId="27" fillId="0" borderId="47" xfId="5" applyFont="1" applyBorder="1" applyAlignment="1">
      <alignment vertical="center"/>
    </xf>
    <xf numFmtId="3" fontId="27" fillId="2" borderId="1" xfId="0" applyNumberFormat="1" applyFont="1" applyFill="1" applyBorder="1" applyAlignment="1">
      <alignment horizontal="right" vertical="center"/>
    </xf>
    <xf numFmtId="3" fontId="27" fillId="2" borderId="16" xfId="0" applyNumberFormat="1" applyFont="1" applyFill="1" applyBorder="1" applyAlignment="1">
      <alignment horizontal="right" vertical="center"/>
    </xf>
    <xf numFmtId="166" fontId="27" fillId="2" borderId="58" xfId="8" applyNumberFormat="1" applyFont="1" applyFill="1" applyBorder="1" applyAlignment="1">
      <alignment horizontal="right" vertical="center"/>
    </xf>
    <xf numFmtId="0" fontId="27" fillId="0" borderId="0" xfId="0" applyFont="1" applyBorder="1" applyAlignment="1">
      <alignment vertical="center"/>
    </xf>
    <xf numFmtId="0" fontId="27" fillId="13" borderId="0" xfId="0" applyFont="1" applyFill="1" applyAlignment="1">
      <alignment vertical="center"/>
    </xf>
    <xf numFmtId="164" fontId="27" fillId="0" borderId="0" xfId="0" applyNumberFormat="1" applyFont="1" applyAlignment="1">
      <alignment vertical="center"/>
    </xf>
    <xf numFmtId="0" fontId="27" fillId="6" borderId="0" xfId="0" applyFont="1" applyFill="1" applyBorder="1" applyAlignment="1">
      <alignment vertical="center"/>
    </xf>
    <xf numFmtId="164" fontId="68" fillId="5" borderId="0" xfId="8" applyNumberFormat="1" applyFont="1" applyFill="1" applyBorder="1" applyAlignment="1">
      <alignment horizontal="center" vertical="center"/>
    </xf>
    <xf numFmtId="0" fontId="27" fillId="6" borderId="0" xfId="0" applyFont="1" applyFill="1" applyAlignment="1">
      <alignment vertical="center"/>
    </xf>
    <xf numFmtId="3" fontId="44" fillId="14" borderId="68" xfId="0" applyNumberFormat="1" applyFont="1" applyFill="1" applyBorder="1" applyAlignment="1">
      <alignment horizontal="right" vertical="center" wrapText="1"/>
    </xf>
    <xf numFmtId="0" fontId="13" fillId="2" borderId="62" xfId="0" applyFont="1" applyFill="1" applyBorder="1" applyAlignment="1">
      <alignment vertical="center" wrapText="1"/>
    </xf>
    <xf numFmtId="3" fontId="46" fillId="13" borderId="68" xfId="0" applyNumberFormat="1" applyFont="1" applyFill="1" applyBorder="1" applyAlignment="1">
      <alignment horizontal="right" vertical="center" wrapText="1"/>
    </xf>
    <xf numFmtId="3" fontId="46" fillId="14" borderId="68" xfId="0" applyNumberFormat="1" applyFont="1" applyFill="1" applyBorder="1" applyAlignment="1">
      <alignment horizontal="right" vertical="center" wrapText="1"/>
    </xf>
    <xf numFmtId="3" fontId="46" fillId="15" borderId="68" xfId="0" applyNumberFormat="1" applyFont="1" applyFill="1" applyBorder="1" applyAlignment="1">
      <alignment horizontal="right" vertical="center" wrapText="1"/>
    </xf>
    <xf numFmtId="0" fontId="46" fillId="6" borderId="0" xfId="0" applyFont="1" applyFill="1" applyBorder="1" applyAlignment="1">
      <alignment vertical="center" wrapText="1"/>
    </xf>
    <xf numFmtId="49" fontId="41" fillId="6" borderId="1" xfId="0" applyNumberFormat="1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3" fontId="39" fillId="6" borderId="62" xfId="0" applyNumberFormat="1" applyFont="1" applyFill="1" applyBorder="1" applyAlignment="1">
      <alignment horizontal="right" vertical="center"/>
    </xf>
    <xf numFmtId="9" fontId="39" fillId="6" borderId="0" xfId="5" applyFont="1" applyFill="1" applyBorder="1" applyAlignment="1">
      <alignment horizontal="center" vertical="center" wrapText="1"/>
    </xf>
    <xf numFmtId="0" fontId="73" fillId="11" borderId="1" xfId="0" applyFont="1" applyFill="1" applyBorder="1" applyAlignment="1">
      <alignment horizontal="center" vertical="center" wrapText="1"/>
    </xf>
    <xf numFmtId="0" fontId="75" fillId="12" borderId="1" xfId="0" applyFont="1" applyFill="1" applyBorder="1" applyAlignment="1">
      <alignment horizontal="left" vertical="center"/>
    </xf>
    <xf numFmtId="0" fontId="73" fillId="12" borderId="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/>
    </xf>
    <xf numFmtId="0" fontId="73" fillId="11" borderId="1" xfId="0" applyFont="1" applyFill="1" applyBorder="1" applyAlignment="1">
      <alignment vertical="center" wrapText="1"/>
    </xf>
    <xf numFmtId="0" fontId="33" fillId="12" borderId="1" xfId="0" applyFont="1" applyFill="1" applyBorder="1" applyAlignment="1">
      <alignment vertical="center"/>
    </xf>
    <xf numFmtId="0" fontId="44" fillId="11" borderId="103" xfId="0" applyFont="1" applyFill="1" applyBorder="1" applyAlignment="1">
      <alignment horizontal="left" vertical="center"/>
    </xf>
    <xf numFmtId="0" fontId="40" fillId="11" borderId="54" xfId="0" applyFont="1" applyFill="1" applyBorder="1" applyAlignment="1">
      <alignment horizontal="left" vertical="center"/>
    </xf>
    <xf numFmtId="0" fontId="75" fillId="12" borderId="14" xfId="0" applyFont="1" applyFill="1" applyBorder="1" applyAlignment="1">
      <alignment horizontal="left" vertical="center"/>
    </xf>
    <xf numFmtId="0" fontId="41" fillId="6" borderId="121" xfId="0" applyFont="1" applyFill="1" applyBorder="1" applyAlignment="1">
      <alignment horizontal="left" vertical="center" wrapText="1"/>
    </xf>
    <xf numFmtId="0" fontId="44" fillId="11" borderId="14" xfId="0" applyFont="1" applyFill="1" applyBorder="1" applyAlignment="1">
      <alignment vertical="center"/>
    </xf>
    <xf numFmtId="0" fontId="44" fillId="11" borderId="63" xfId="0" applyFont="1" applyFill="1" applyBorder="1" applyAlignment="1">
      <alignment vertical="center"/>
    </xf>
    <xf numFmtId="0" fontId="75" fillId="12" borderId="79" xfId="0" applyFont="1" applyFill="1" applyBorder="1" applyAlignment="1">
      <alignment horizontal="left" vertical="center"/>
    </xf>
    <xf numFmtId="0" fontId="40" fillId="12" borderId="79" xfId="0" applyFont="1" applyFill="1" applyBorder="1" applyAlignment="1">
      <alignment horizontal="center" vertical="center" wrapText="1"/>
    </xf>
    <xf numFmtId="0" fontId="44" fillId="11" borderId="63" xfId="0" applyFont="1" applyFill="1" applyBorder="1" applyAlignment="1">
      <alignment horizontal="left" vertical="center"/>
    </xf>
    <xf numFmtId="0" fontId="39" fillId="6" borderId="62" xfId="0" applyFont="1" applyFill="1" applyBorder="1" applyAlignment="1">
      <alignment horizontal="center" vertical="center" wrapText="1"/>
    </xf>
    <xf numFmtId="0" fontId="43" fillId="12" borderId="1" xfId="0" applyFont="1" applyFill="1" applyBorder="1" applyAlignment="1">
      <alignment horizontal="left" vertical="center"/>
    </xf>
    <xf numFmtId="49" fontId="41" fillId="6" borderId="83" xfId="0" applyNumberFormat="1" applyFont="1" applyFill="1" applyBorder="1" applyAlignment="1">
      <alignment horizontal="center" vertical="center"/>
    </xf>
    <xf numFmtId="49" fontId="41" fillId="6" borderId="83" xfId="0" applyNumberFormat="1" applyFont="1" applyFill="1" applyBorder="1" applyAlignment="1">
      <alignment horizontal="center" vertical="center" wrapText="1"/>
    </xf>
    <xf numFmtId="49" fontId="41" fillId="6" borderId="14" xfId="0" applyNumberFormat="1" applyFont="1" applyFill="1" applyBorder="1" applyAlignment="1">
      <alignment horizontal="center" vertical="center" wrapText="1"/>
    </xf>
    <xf numFmtId="4" fontId="67" fillId="6" borderId="1" xfId="0" applyNumberFormat="1" applyFont="1" applyFill="1" applyBorder="1" applyAlignment="1">
      <alignment horizontal="center" vertical="center"/>
    </xf>
    <xf numFmtId="49" fontId="67" fillId="6" borderId="1" xfId="0" applyNumberFormat="1" applyFont="1" applyFill="1" applyBorder="1" applyAlignment="1">
      <alignment horizontal="center" vertical="center"/>
    </xf>
    <xf numFmtId="0" fontId="67" fillId="6" borderId="1" xfId="0" applyFont="1" applyFill="1" applyBorder="1" applyAlignment="1">
      <alignment horizontal="center" vertical="center" wrapText="1"/>
    </xf>
    <xf numFmtId="1" fontId="67" fillId="6" borderId="1" xfId="0" applyNumberFormat="1" applyFont="1" applyFill="1" applyBorder="1" applyAlignment="1">
      <alignment horizontal="center" vertical="center"/>
    </xf>
    <xf numFmtId="0" fontId="32" fillId="12" borderId="79" xfId="0" applyFont="1" applyFill="1" applyBorder="1" applyAlignment="1">
      <alignment vertical="center"/>
    </xf>
    <xf numFmtId="0" fontId="32" fillId="12" borderId="79" xfId="0" applyFont="1" applyFill="1" applyBorder="1" applyAlignment="1">
      <alignment horizontal="center" vertical="center"/>
    </xf>
    <xf numFmtId="0" fontId="32" fillId="12" borderId="1" xfId="0" applyFont="1" applyFill="1" applyBorder="1" applyAlignment="1">
      <alignment vertical="center"/>
    </xf>
    <xf numFmtId="0" fontId="32" fillId="12" borderId="1" xfId="0" applyFont="1" applyFill="1" applyBorder="1" applyAlignment="1">
      <alignment horizontal="center" vertical="center"/>
    </xf>
    <xf numFmtId="0" fontId="43" fillId="12" borderId="79" xfId="0" applyFont="1" applyFill="1" applyBorder="1" applyAlignment="1">
      <alignment horizontal="left" vertical="center"/>
    </xf>
    <xf numFmtId="0" fontId="40" fillId="11" borderId="1" xfId="0" applyFont="1" applyFill="1" applyBorder="1" applyAlignment="1">
      <alignment vertical="center" wrapText="1"/>
    </xf>
    <xf numFmtId="0" fontId="14" fillId="12" borderId="1" xfId="0" applyFont="1" applyFill="1" applyBorder="1" applyAlignment="1">
      <alignment vertical="center"/>
    </xf>
    <xf numFmtId="49" fontId="41" fillId="6" borderId="1" xfId="0" applyNumberFormat="1" applyFont="1" applyFill="1" applyBorder="1" applyAlignment="1">
      <alignment horizontal="center" vertical="center" wrapText="1"/>
    </xf>
    <xf numFmtId="3" fontId="74" fillId="10" borderId="1" xfId="0" applyNumberFormat="1" applyFont="1" applyFill="1" applyBorder="1" applyAlignment="1">
      <alignment horizontal="right" vertical="center" wrapText="1"/>
    </xf>
    <xf numFmtId="0" fontId="67" fillId="6" borderId="1" xfId="0" applyFont="1" applyFill="1" applyBorder="1" applyAlignment="1">
      <alignment horizontal="center" vertical="center"/>
    </xf>
    <xf numFmtId="3" fontId="79" fillId="6" borderId="1" xfId="0" applyNumberFormat="1" applyFont="1" applyFill="1" applyBorder="1" applyAlignment="1">
      <alignment horizontal="right" vertical="center"/>
    </xf>
    <xf numFmtId="4" fontId="33" fillId="3" borderId="1" xfId="0" applyNumberFormat="1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justify" vertical="center" wrapText="1"/>
    </xf>
    <xf numFmtId="3" fontId="46" fillId="10" borderId="68" xfId="0" applyNumberFormat="1" applyFont="1" applyFill="1" applyBorder="1" applyAlignment="1">
      <alignment horizontal="right" vertical="center" wrapText="1"/>
    </xf>
    <xf numFmtId="0" fontId="0" fillId="0" borderId="0" xfId="0"/>
    <xf numFmtId="0" fontId="81" fillId="6" borderId="1" xfId="0" applyFont="1" applyFill="1" applyBorder="1" applyAlignment="1">
      <alignment horizontal="center" vertical="center"/>
    </xf>
    <xf numFmtId="3" fontId="81" fillId="6" borderId="1" xfId="0" applyNumberFormat="1" applyFont="1" applyFill="1" applyBorder="1" applyAlignment="1">
      <alignment horizontal="right" vertical="center"/>
    </xf>
    <xf numFmtId="0" fontId="82" fillId="20" borderId="1" xfId="0" applyFont="1" applyFill="1" applyBorder="1" applyAlignment="1">
      <alignment horizontal="center" vertical="center" wrapText="1"/>
    </xf>
    <xf numFmtId="3" fontId="82" fillId="20" borderId="68" xfId="0" applyNumberFormat="1" applyFont="1" applyFill="1" applyBorder="1" applyAlignment="1">
      <alignment horizontal="right" vertical="center" wrapText="1"/>
    </xf>
    <xf numFmtId="0" fontId="82" fillId="20" borderId="62" xfId="0" applyFont="1" applyFill="1" applyBorder="1" applyAlignment="1">
      <alignment horizontal="center" vertical="center" wrapText="1"/>
    </xf>
    <xf numFmtId="3" fontId="74" fillId="11" borderId="1" xfId="0" applyNumberFormat="1" applyFont="1" applyFill="1" applyBorder="1" applyAlignment="1">
      <alignment horizontal="right" vertical="center" wrapText="1"/>
    </xf>
    <xf numFmtId="3" fontId="46" fillId="12" borderId="68" xfId="0" applyNumberFormat="1" applyFont="1" applyFill="1" applyBorder="1" applyAlignment="1">
      <alignment horizontal="right" vertical="center" wrapText="1"/>
    </xf>
    <xf numFmtId="3" fontId="83" fillId="6" borderId="1" xfId="0" applyNumberFormat="1" applyFont="1" applyFill="1" applyBorder="1" applyAlignment="1">
      <alignment horizontal="right" vertical="center"/>
    </xf>
    <xf numFmtId="49" fontId="76" fillId="2" borderId="72" xfId="0" applyNumberFormat="1" applyFont="1" applyFill="1" applyBorder="1" applyAlignment="1">
      <alignment horizontal="center" vertical="center"/>
    </xf>
    <xf numFmtId="0" fontId="76" fillId="2" borderId="73" xfId="0" applyFont="1" applyFill="1" applyBorder="1" applyAlignment="1">
      <alignment horizontal="center" vertical="center"/>
    </xf>
    <xf numFmtId="0" fontId="76" fillId="2" borderId="74" xfId="0" applyFont="1" applyFill="1" applyBorder="1" applyAlignment="1">
      <alignment horizontal="center" vertical="center"/>
    </xf>
    <xf numFmtId="0" fontId="44" fillId="10" borderId="54" xfId="0" applyFont="1" applyFill="1" applyBorder="1" applyAlignment="1">
      <alignment vertical="center" wrapText="1"/>
    </xf>
    <xf numFmtId="0" fontId="44" fillId="11" borderId="2" xfId="0" applyFont="1" applyFill="1" applyBorder="1" applyAlignment="1">
      <alignment horizontal="center" vertical="center"/>
    </xf>
    <xf numFmtId="0" fontId="44" fillId="11" borderId="77" xfId="0" applyFont="1" applyFill="1" applyBorder="1" applyAlignment="1">
      <alignment horizontal="center" vertical="center" wrapText="1"/>
    </xf>
    <xf numFmtId="49" fontId="44" fillId="11" borderId="78" xfId="0" applyNumberFormat="1" applyFont="1" applyFill="1" applyBorder="1" applyAlignment="1">
      <alignment horizontal="center" vertical="center" wrapText="1"/>
    </xf>
    <xf numFmtId="49" fontId="44" fillId="11" borderId="77" xfId="0" applyNumberFormat="1" applyFont="1" applyFill="1" applyBorder="1" applyAlignment="1">
      <alignment horizontal="center" vertical="center" wrapText="1"/>
    </xf>
    <xf numFmtId="166" fontId="67" fillId="6" borderId="1" xfId="8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44" fillId="11" borderId="1" xfId="0" applyFont="1" applyFill="1" applyBorder="1" applyAlignment="1">
      <alignment horizontal="center" vertical="center"/>
    </xf>
    <xf numFmtId="0" fontId="44" fillId="11" borderId="1" xfId="0" applyFont="1" applyFill="1" applyBorder="1" applyAlignment="1">
      <alignment horizontal="center" vertical="center" wrapText="1"/>
    </xf>
    <xf numFmtId="49" fontId="44" fillId="11" borderId="1" xfId="0" applyNumberFormat="1" applyFont="1" applyFill="1" applyBorder="1" applyAlignment="1">
      <alignment horizontal="center" vertical="center" wrapText="1"/>
    </xf>
    <xf numFmtId="0" fontId="76" fillId="6" borderId="1" xfId="0" applyFont="1" applyFill="1" applyBorder="1" applyAlignment="1">
      <alignment horizontal="center" vertical="center"/>
    </xf>
    <xf numFmtId="1" fontId="76" fillId="6" borderId="1" xfId="0" applyNumberFormat="1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 wrapText="1"/>
    </xf>
    <xf numFmtId="0" fontId="76" fillId="11" borderId="1" xfId="0" applyFont="1" applyFill="1" applyBorder="1" applyAlignment="1">
      <alignment horizontal="center" vertical="center"/>
    </xf>
    <xf numFmtId="9" fontId="76" fillId="6" borderId="1" xfId="0" applyNumberFormat="1" applyFont="1" applyFill="1" applyBorder="1" applyAlignment="1">
      <alignment horizontal="center" vertical="center" wrapText="1"/>
    </xf>
    <xf numFmtId="3" fontId="86" fillId="6" borderId="1" xfId="0" applyNumberFormat="1" applyFont="1" applyFill="1" applyBorder="1" applyAlignment="1">
      <alignment horizontal="right" vertical="center"/>
    </xf>
    <xf numFmtId="0" fontId="87" fillId="6" borderId="1" xfId="0" applyFont="1" applyFill="1" applyBorder="1" applyAlignment="1">
      <alignment horizontal="justify" vertical="center" wrapText="1"/>
    </xf>
    <xf numFmtId="0" fontId="87" fillId="6" borderId="1" xfId="0" applyFont="1" applyFill="1" applyBorder="1" applyAlignment="1">
      <alignment horizontal="center" vertical="center"/>
    </xf>
    <xf numFmtId="49" fontId="87" fillId="6" borderId="1" xfId="0" applyNumberFormat="1" applyFont="1" applyFill="1" applyBorder="1" applyAlignment="1">
      <alignment horizontal="center" vertical="center"/>
    </xf>
    <xf numFmtId="0" fontId="87" fillId="6" borderId="1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/>
    </xf>
    <xf numFmtId="0" fontId="84" fillId="3" borderId="1" xfId="0" applyFont="1" applyFill="1" applyBorder="1" applyAlignment="1">
      <alignment horizontal="justify" vertical="center" wrapText="1"/>
    </xf>
    <xf numFmtId="0" fontId="84" fillId="2" borderId="1" xfId="0" applyFont="1" applyFill="1" applyBorder="1" applyAlignment="1">
      <alignment horizontal="center" vertical="center" wrapText="1"/>
    </xf>
    <xf numFmtId="4" fontId="76" fillId="6" borderId="1" xfId="0" applyNumberFormat="1" applyFont="1" applyFill="1" applyBorder="1" applyAlignment="1">
      <alignment horizontal="center" vertical="center" wrapText="1"/>
    </xf>
    <xf numFmtId="0" fontId="44" fillId="13" borderId="1" xfId="0" applyFont="1" applyFill="1" applyBorder="1" applyAlignment="1">
      <alignment horizontal="center" vertical="center" wrapText="1"/>
    </xf>
    <xf numFmtId="49" fontId="44" fillId="13" borderId="1" xfId="0" applyNumberFormat="1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left" vertical="center"/>
    </xf>
    <xf numFmtId="0" fontId="44" fillId="13" borderId="1" xfId="0" applyFont="1" applyFill="1" applyBorder="1" applyAlignment="1">
      <alignment horizontal="center" vertical="center"/>
    </xf>
    <xf numFmtId="3" fontId="88" fillId="10" borderId="68" xfId="0" applyNumberFormat="1" applyFont="1" applyFill="1" applyBorder="1" applyAlignment="1">
      <alignment horizontal="right" vertical="center" wrapText="1"/>
    </xf>
    <xf numFmtId="0" fontId="41" fillId="6" borderId="54" xfId="0" applyFont="1" applyFill="1" applyBorder="1" applyAlignment="1">
      <alignment horizontal="left" vertical="center" wrapText="1"/>
    </xf>
    <xf numFmtId="0" fontId="46" fillId="10" borderId="14" xfId="0" applyFont="1" applyFill="1" applyBorder="1" applyAlignment="1">
      <alignment vertical="center" wrapText="1"/>
    </xf>
    <xf numFmtId="0" fontId="46" fillId="10" borderId="62" xfId="0" applyFont="1" applyFill="1" applyBorder="1" applyAlignment="1">
      <alignment vertical="center" wrapText="1"/>
    </xf>
    <xf numFmtId="0" fontId="28" fillId="0" borderId="0" xfId="0" applyFont="1" applyBorder="1" applyAlignment="1">
      <alignment horizontal="left" vertical="center"/>
    </xf>
    <xf numFmtId="3" fontId="89" fillId="6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90" fillId="6" borderId="1" xfId="0" applyNumberFormat="1" applyFont="1" applyFill="1" applyBorder="1" applyAlignment="1">
      <alignment horizontal="right" vertical="center"/>
    </xf>
    <xf numFmtId="0" fontId="44" fillId="21" borderId="1" xfId="0" applyFont="1" applyFill="1" applyBorder="1" applyAlignment="1">
      <alignment horizontal="center" vertical="center"/>
    </xf>
    <xf numFmtId="0" fontId="44" fillId="21" borderId="1" xfId="0" applyFont="1" applyFill="1" applyBorder="1" applyAlignment="1">
      <alignment horizontal="center" vertical="center" wrapText="1"/>
    </xf>
    <xf numFmtId="49" fontId="44" fillId="21" borderId="1" xfId="0" applyNumberFormat="1" applyFont="1" applyFill="1" applyBorder="1" applyAlignment="1">
      <alignment horizontal="center" vertical="center"/>
    </xf>
    <xf numFmtId="0" fontId="44" fillId="21" borderId="1" xfId="0" applyFont="1" applyFill="1" applyBorder="1" applyAlignment="1">
      <alignment horizontal="left" vertical="center"/>
    </xf>
    <xf numFmtId="3" fontId="46" fillId="21" borderId="68" xfId="0" applyNumberFormat="1" applyFont="1" applyFill="1" applyBorder="1" applyAlignment="1">
      <alignment horizontal="right" vertical="center" wrapText="1"/>
    </xf>
    <xf numFmtId="0" fontId="25" fillId="21" borderId="0" xfId="0" applyFont="1" applyFill="1" applyAlignment="1">
      <alignment vertical="center"/>
    </xf>
    <xf numFmtId="3" fontId="76" fillId="6" borderId="1" xfId="0" applyNumberFormat="1" applyFont="1" applyFill="1" applyBorder="1" applyAlignment="1">
      <alignment horizontal="center" vertical="center" wrapText="1"/>
    </xf>
    <xf numFmtId="0" fontId="76" fillId="6" borderId="2" xfId="0" applyFont="1" applyFill="1" applyBorder="1" applyAlignment="1">
      <alignment horizontal="center" vertical="center"/>
    </xf>
    <xf numFmtId="0" fontId="76" fillId="6" borderId="14" xfId="0" applyFont="1" applyFill="1" applyBorder="1" applyAlignment="1">
      <alignment horizontal="left" vertical="center" wrapText="1"/>
    </xf>
    <xf numFmtId="0" fontId="76" fillId="6" borderId="6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44" fillId="11" borderId="93" xfId="0" applyFont="1" applyFill="1" applyBorder="1" applyAlignment="1">
      <alignment vertical="center" wrapText="1"/>
    </xf>
    <xf numFmtId="0" fontId="44" fillId="11" borderId="94" xfId="0" applyFont="1" applyFill="1" applyBorder="1" applyAlignment="1">
      <alignment vertical="center" wrapText="1"/>
    </xf>
    <xf numFmtId="0" fontId="76" fillId="6" borderId="14" xfId="0" applyFont="1" applyFill="1" applyBorder="1" applyAlignment="1">
      <alignment horizontal="center" vertical="center"/>
    </xf>
    <xf numFmtId="0" fontId="76" fillId="6" borderId="0" xfId="0" applyFont="1" applyFill="1" applyBorder="1" applyAlignment="1">
      <alignment horizontal="left" vertical="center" wrapText="1"/>
    </xf>
    <xf numFmtId="0" fontId="76" fillId="6" borderId="0" xfId="0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/>
    </xf>
    <xf numFmtId="49" fontId="76" fillId="6" borderId="0" xfId="0" applyNumberFormat="1" applyFont="1" applyFill="1" applyBorder="1" applyAlignment="1">
      <alignment horizontal="center" vertical="center"/>
    </xf>
    <xf numFmtId="3" fontId="86" fillId="6" borderId="0" xfId="0" applyNumberFormat="1" applyFont="1" applyFill="1" applyBorder="1" applyAlignment="1">
      <alignment horizontal="right" vertical="center"/>
    </xf>
    <xf numFmtId="0" fontId="76" fillId="6" borderId="0" xfId="0" applyFont="1" applyFill="1" applyBorder="1" applyAlignment="1">
      <alignment horizontal="center" vertical="center"/>
    </xf>
    <xf numFmtId="4" fontId="76" fillId="6" borderId="0" xfId="0" applyNumberFormat="1" applyFont="1" applyFill="1" applyBorder="1" applyAlignment="1">
      <alignment horizontal="center" vertical="center" wrapText="1"/>
    </xf>
    <xf numFmtId="0" fontId="76" fillId="2" borderId="0" xfId="0" applyFont="1" applyFill="1" applyBorder="1" applyAlignment="1">
      <alignment horizontal="left" vertical="center"/>
    </xf>
    <xf numFmtId="49" fontId="76" fillId="2" borderId="0" xfId="0" applyNumberFormat="1" applyFont="1" applyFill="1" applyBorder="1" applyAlignment="1">
      <alignment horizontal="center" vertical="center"/>
    </xf>
    <xf numFmtId="0" fontId="76" fillId="2" borderId="0" xfId="0" applyFont="1" applyFill="1" applyBorder="1" applyAlignment="1">
      <alignment horizontal="center" vertical="center"/>
    </xf>
    <xf numFmtId="3" fontId="83" fillId="6" borderId="0" xfId="0" applyNumberFormat="1" applyFont="1" applyFill="1" applyBorder="1" applyAlignment="1">
      <alignment horizontal="right" vertical="center"/>
    </xf>
    <xf numFmtId="0" fontId="44" fillId="10" borderId="103" xfId="0" applyFont="1" applyFill="1" applyBorder="1" applyAlignment="1">
      <alignment vertical="center" wrapText="1"/>
    </xf>
    <xf numFmtId="0" fontId="44" fillId="10" borderId="4" xfId="0" applyFont="1" applyFill="1" applyBorder="1" applyAlignment="1">
      <alignment vertical="center" wrapText="1"/>
    </xf>
    <xf numFmtId="0" fontId="44" fillId="10" borderId="53" xfId="0" applyFont="1" applyFill="1" applyBorder="1" applyAlignment="1">
      <alignment vertical="center" wrapText="1"/>
    </xf>
    <xf numFmtId="0" fontId="44" fillId="10" borderId="63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67" fillId="6" borderId="79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44" fillId="11" borderId="14" xfId="0" applyFont="1" applyFill="1" applyBorder="1" applyAlignment="1">
      <alignment vertical="center" wrapText="1"/>
    </xf>
    <xf numFmtId="0" fontId="44" fillId="11" borderId="63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92" fillId="6" borderId="2" xfId="0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92" fillId="6" borderId="79" xfId="0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92" fillId="6" borderId="2" xfId="0" applyFont="1" applyFill="1" applyBorder="1" applyAlignment="1">
      <alignment horizontal="center" vertical="center"/>
    </xf>
    <xf numFmtId="49" fontId="76" fillId="6" borderId="2" xfId="0" applyNumberFormat="1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44" fillId="11" borderId="63" xfId="0" applyFont="1" applyFill="1" applyBorder="1" applyAlignment="1">
      <alignment horizontal="center" vertical="center" wrapText="1"/>
    </xf>
    <xf numFmtId="0" fontId="76" fillId="6" borderId="63" xfId="0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94" fillId="6" borderId="1" xfId="0" applyFont="1" applyFill="1" applyBorder="1" applyAlignment="1">
      <alignment horizontal="center" vertical="center" wrapText="1"/>
    </xf>
    <xf numFmtId="4" fontId="94" fillId="6" borderId="1" xfId="0" applyNumberFormat="1" applyFont="1" applyFill="1" applyBorder="1" applyAlignment="1">
      <alignment horizontal="center" vertical="center" wrapText="1"/>
    </xf>
    <xf numFmtId="0" fontId="92" fillId="6" borderId="1" xfId="0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76" fillId="6" borderId="14" xfId="0" applyFont="1" applyFill="1" applyBorder="1" applyAlignment="1">
      <alignment horizontal="left" vertical="center" wrapText="1"/>
    </xf>
    <xf numFmtId="0" fontId="76" fillId="6" borderId="63" xfId="0" applyFont="1" applyFill="1" applyBorder="1" applyAlignment="1">
      <alignment horizontal="left" vertical="center" wrapText="1"/>
    </xf>
    <xf numFmtId="0" fontId="92" fillId="6" borderId="79" xfId="0" applyFont="1" applyFill="1" applyBorder="1" applyAlignment="1">
      <alignment horizontal="center" vertical="center"/>
    </xf>
    <xf numFmtId="49" fontId="76" fillId="6" borderId="79" xfId="0" applyNumberFormat="1" applyFont="1" applyFill="1" applyBorder="1" applyAlignment="1">
      <alignment horizontal="center" vertical="center"/>
    </xf>
    <xf numFmtId="0" fontId="76" fillId="6" borderId="79" xfId="0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94" fillId="6" borderId="14" xfId="0" applyFont="1" applyFill="1" applyBorder="1" applyAlignment="1">
      <alignment horizontal="left" vertical="center" wrapText="1"/>
    </xf>
    <xf numFmtId="0" fontId="94" fillId="6" borderId="63" xfId="0" applyFont="1" applyFill="1" applyBorder="1" applyAlignment="1">
      <alignment horizontal="left" vertical="center" wrapText="1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76" fillId="6" borderId="14" xfId="0" applyFont="1" applyFill="1" applyBorder="1" applyAlignment="1">
      <alignment horizontal="left" vertical="center"/>
    </xf>
    <xf numFmtId="0" fontId="76" fillId="6" borderId="62" xfId="0" applyFont="1" applyFill="1" applyBorder="1" applyAlignment="1">
      <alignment horizontal="left" vertical="center"/>
    </xf>
    <xf numFmtId="0" fontId="76" fillId="6" borderId="63" xfId="0" applyFont="1" applyFill="1" applyBorder="1" applyAlignment="1">
      <alignment horizontal="left" vertical="center"/>
    </xf>
    <xf numFmtId="0" fontId="76" fillId="6" borderId="62" xfId="0" applyFont="1" applyFill="1" applyBorder="1" applyAlignment="1">
      <alignment horizontal="left" vertical="center" wrapText="1"/>
    </xf>
    <xf numFmtId="0" fontId="92" fillId="7" borderId="1" xfId="0" applyFont="1" applyFill="1" applyBorder="1" applyAlignment="1">
      <alignment horizontal="center" vertical="center"/>
    </xf>
    <xf numFmtId="0" fontId="76" fillId="7" borderId="1" xfId="0" applyFont="1" applyFill="1" applyBorder="1" applyAlignment="1">
      <alignment horizontal="center" vertical="center"/>
    </xf>
    <xf numFmtId="49" fontId="76" fillId="7" borderId="1" xfId="0" applyNumberFormat="1" applyFont="1" applyFill="1" applyBorder="1" applyAlignment="1">
      <alignment horizontal="center" vertical="center"/>
    </xf>
    <xf numFmtId="3" fontId="90" fillId="7" borderId="1" xfId="0" applyNumberFormat="1" applyFont="1" applyFill="1" applyBorder="1" applyAlignment="1">
      <alignment horizontal="right" vertical="center"/>
    </xf>
    <xf numFmtId="0" fontId="94" fillId="7" borderId="1" xfId="0" applyFont="1" applyFill="1" applyBorder="1" applyAlignment="1">
      <alignment horizontal="center" vertical="center" wrapText="1"/>
    </xf>
    <xf numFmtId="0" fontId="76" fillId="7" borderId="79" xfId="0" applyFont="1" applyFill="1" applyBorder="1" applyAlignment="1">
      <alignment horizontal="center" vertical="center"/>
    </xf>
    <xf numFmtId="49" fontId="76" fillId="7" borderId="79" xfId="0" applyNumberFormat="1" applyFont="1" applyFill="1" applyBorder="1" applyAlignment="1">
      <alignment horizontal="center" vertical="center"/>
    </xf>
    <xf numFmtId="3" fontId="86" fillId="7" borderId="1" xfId="0" applyNumberFormat="1" applyFont="1" applyFill="1" applyBorder="1" applyAlignment="1">
      <alignment horizontal="right" vertical="center"/>
    </xf>
    <xf numFmtId="0" fontId="76" fillId="7" borderId="1" xfId="0" applyFont="1" applyFill="1" applyBorder="1" applyAlignment="1">
      <alignment horizontal="center" vertical="center" wrapText="1"/>
    </xf>
    <xf numFmtId="0" fontId="92" fillId="7" borderId="79" xfId="0" applyFont="1" applyFill="1" applyBorder="1" applyAlignment="1">
      <alignment horizontal="center" vertical="center"/>
    </xf>
    <xf numFmtId="0" fontId="92" fillId="7" borderId="2" xfId="0" applyFont="1" applyFill="1" applyBorder="1" applyAlignment="1">
      <alignment horizontal="center" vertical="center"/>
    </xf>
    <xf numFmtId="4" fontId="76" fillId="7" borderId="1" xfId="0" applyNumberFormat="1" applyFont="1" applyFill="1" applyBorder="1" applyAlignment="1">
      <alignment horizontal="center" vertical="center" wrapText="1"/>
    </xf>
    <xf numFmtId="4" fontId="94" fillId="7" borderId="1" xfId="0" applyNumberFormat="1" applyFont="1" applyFill="1" applyBorder="1" applyAlignment="1">
      <alignment horizontal="center" vertical="center" wrapText="1"/>
    </xf>
    <xf numFmtId="0" fontId="92" fillId="6" borderId="1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76" fillId="6" borderId="14" xfId="0" applyFont="1" applyFill="1" applyBorder="1" applyAlignment="1">
      <alignment horizontal="left" vertical="center" wrapText="1"/>
    </xf>
    <xf numFmtId="0" fontId="76" fillId="6" borderId="63" xfId="0" applyFont="1" applyFill="1" applyBorder="1" applyAlignment="1">
      <alignment horizontal="left" vertical="center" wrapText="1"/>
    </xf>
    <xf numFmtId="0" fontId="76" fillId="6" borderId="2" xfId="0" applyFont="1" applyFill="1" applyBorder="1" applyAlignment="1">
      <alignment horizontal="center" vertical="center"/>
    </xf>
    <xf numFmtId="49" fontId="76" fillId="6" borderId="2" xfId="0" applyNumberFormat="1" applyFont="1" applyFill="1" applyBorder="1" applyAlignment="1">
      <alignment horizontal="center" vertical="center"/>
    </xf>
    <xf numFmtId="0" fontId="92" fillId="6" borderId="2" xfId="0" applyFont="1" applyFill="1" applyBorder="1" applyAlignment="1">
      <alignment horizontal="center" vertical="center"/>
    </xf>
    <xf numFmtId="0" fontId="92" fillId="6" borderId="79" xfId="0" applyFont="1" applyFill="1" applyBorder="1" applyAlignment="1">
      <alignment horizontal="center" vertical="center"/>
    </xf>
    <xf numFmtId="0" fontId="76" fillId="6" borderId="79" xfId="0" applyFont="1" applyFill="1" applyBorder="1" applyAlignment="1">
      <alignment horizontal="center" vertical="center"/>
    </xf>
    <xf numFmtId="49" fontId="76" fillId="6" borderId="79" xfId="0" applyNumberFormat="1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1" xfId="0" applyFont="1" applyFill="1" applyBorder="1" applyAlignment="1">
      <alignment horizontal="center" vertical="center"/>
    </xf>
    <xf numFmtId="0" fontId="94" fillId="6" borderId="14" xfId="0" applyFont="1" applyFill="1" applyBorder="1" applyAlignment="1">
      <alignment horizontal="left" vertical="center" wrapText="1"/>
    </xf>
    <xf numFmtId="0" fontId="94" fillId="6" borderId="63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2" fillId="6" borderId="2" xfId="0" applyFont="1" applyFill="1" applyBorder="1" applyAlignment="1">
      <alignment horizontal="center" vertical="center"/>
    </xf>
    <xf numFmtId="0" fontId="92" fillId="6" borderId="79" xfId="0" applyFont="1" applyFill="1" applyBorder="1" applyAlignment="1">
      <alignment horizontal="center" vertical="center"/>
    </xf>
    <xf numFmtId="0" fontId="92" fillId="6" borderId="1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1" fontId="76" fillId="7" borderId="1" xfId="0" applyNumberFormat="1" applyFont="1" applyFill="1" applyBorder="1" applyAlignment="1">
      <alignment horizontal="center" vertical="center"/>
    </xf>
    <xf numFmtId="3" fontId="86" fillId="6" borderId="54" xfId="0" applyNumberFormat="1" applyFont="1" applyFill="1" applyBorder="1" applyAlignment="1">
      <alignment horizontal="right" vertical="center"/>
    </xf>
    <xf numFmtId="0" fontId="76" fillId="6" borderId="0" xfId="0" applyFont="1" applyFill="1" applyBorder="1" applyAlignment="1">
      <alignment horizontal="left" vertical="center" wrapText="1"/>
    </xf>
    <xf numFmtId="0" fontId="25" fillId="11" borderId="0" xfId="0" applyFont="1" applyFill="1" applyBorder="1" applyAlignment="1">
      <alignment vertical="center"/>
    </xf>
    <xf numFmtId="0" fontId="91" fillId="6" borderId="0" xfId="0" applyFont="1" applyFill="1" applyBorder="1" applyAlignment="1">
      <alignment horizontal="left" vertical="center" wrapText="1"/>
    </xf>
    <xf numFmtId="0" fontId="44" fillId="21" borderId="79" xfId="0" applyFont="1" applyFill="1" applyBorder="1" applyAlignment="1">
      <alignment horizontal="center" vertical="center"/>
    </xf>
    <xf numFmtId="0" fontId="44" fillId="21" borderId="79" xfId="0" applyFont="1" applyFill="1" applyBorder="1" applyAlignment="1">
      <alignment horizontal="center" vertical="center" wrapText="1"/>
    </xf>
    <xf numFmtId="49" fontId="44" fillId="21" borderId="79" xfId="0" applyNumberFormat="1" applyFont="1" applyFill="1" applyBorder="1" applyAlignment="1">
      <alignment horizontal="center" vertical="center"/>
    </xf>
    <xf numFmtId="0" fontId="44" fillId="21" borderId="79" xfId="0" applyFont="1" applyFill="1" applyBorder="1" applyAlignment="1">
      <alignment horizontal="left" vertical="center"/>
    </xf>
    <xf numFmtId="3" fontId="46" fillId="21" borderId="129" xfId="0" applyNumberFormat="1" applyFont="1" applyFill="1" applyBorder="1" applyAlignment="1">
      <alignment horizontal="right" vertical="center" wrapText="1"/>
    </xf>
    <xf numFmtId="0" fontId="92" fillId="6" borderId="0" xfId="0" applyFont="1" applyFill="1" applyBorder="1" applyAlignment="1">
      <alignment horizontal="center" vertical="center"/>
    </xf>
    <xf numFmtId="0" fontId="98" fillId="0" borderId="0" xfId="0" applyFont="1" applyBorder="1" applyAlignment="1">
      <alignment horizontal="right" vertical="center"/>
    </xf>
    <xf numFmtId="0" fontId="98" fillId="0" borderId="0" xfId="0" applyFont="1" applyBorder="1" applyAlignment="1">
      <alignment horizontal="center" vertical="center"/>
    </xf>
    <xf numFmtId="0" fontId="46" fillId="11" borderId="2" xfId="0" applyFont="1" applyFill="1" applyBorder="1" applyAlignment="1">
      <alignment horizontal="center" vertical="center"/>
    </xf>
    <xf numFmtId="0" fontId="46" fillId="11" borderId="77" xfId="0" applyFont="1" applyFill="1" applyBorder="1" applyAlignment="1">
      <alignment horizontal="center" vertical="center" wrapText="1"/>
    </xf>
    <xf numFmtId="49" fontId="46" fillId="11" borderId="78" xfId="0" applyNumberFormat="1" applyFont="1" applyFill="1" applyBorder="1" applyAlignment="1">
      <alignment horizontal="center" vertical="center" wrapText="1"/>
    </xf>
    <xf numFmtId="49" fontId="91" fillId="2" borderId="72" xfId="0" applyNumberFormat="1" applyFont="1" applyFill="1" applyBorder="1" applyAlignment="1">
      <alignment horizontal="center" vertical="center"/>
    </xf>
    <xf numFmtId="0" fontId="91" fillId="2" borderId="73" xfId="0" applyFont="1" applyFill="1" applyBorder="1" applyAlignment="1">
      <alignment horizontal="center" vertical="center"/>
    </xf>
    <xf numFmtId="0" fontId="91" fillId="2" borderId="74" xfId="0" applyFont="1" applyFill="1" applyBorder="1" applyAlignment="1">
      <alignment horizontal="center" vertical="center"/>
    </xf>
    <xf numFmtId="49" fontId="46" fillId="11" borderId="77" xfId="0" applyNumberFormat="1" applyFont="1" applyFill="1" applyBorder="1" applyAlignment="1">
      <alignment horizontal="center" vertical="center" wrapText="1"/>
    </xf>
    <xf numFmtId="3" fontId="88" fillId="11" borderId="1" xfId="0" applyNumberFormat="1" applyFont="1" applyFill="1" applyBorder="1" applyAlignment="1">
      <alignment horizontal="right" vertical="center" wrapText="1"/>
    </xf>
    <xf numFmtId="0" fontId="89" fillId="11" borderId="0" xfId="0" applyFont="1" applyFill="1" applyAlignment="1">
      <alignment vertical="center"/>
    </xf>
    <xf numFmtId="3" fontId="89" fillId="6" borderId="1" xfId="0" applyNumberFormat="1" applyFont="1" applyFill="1" applyBorder="1" applyAlignment="1">
      <alignment horizontal="right" vertical="center"/>
    </xf>
    <xf numFmtId="0" fontId="89" fillId="0" borderId="0" xfId="0" applyFont="1" applyAlignment="1">
      <alignment vertical="center"/>
    </xf>
    <xf numFmtId="3" fontId="100" fillId="2" borderId="4" xfId="0" applyNumberFormat="1" applyFont="1" applyFill="1" applyBorder="1" applyAlignment="1">
      <alignment vertical="center"/>
    </xf>
    <xf numFmtId="3" fontId="100" fillId="2" borderId="53" xfId="0" applyNumberFormat="1" applyFont="1" applyFill="1" applyBorder="1" applyAlignment="1">
      <alignment vertical="center"/>
    </xf>
    <xf numFmtId="0" fontId="98" fillId="0" borderId="0" xfId="0" applyFont="1" applyAlignment="1">
      <alignment vertical="center"/>
    </xf>
    <xf numFmtId="3" fontId="88" fillId="10" borderId="1" xfId="0" applyNumberFormat="1" applyFont="1" applyFill="1" applyBorder="1" applyAlignment="1">
      <alignment horizontal="right" vertical="center" wrapText="1"/>
    </xf>
    <xf numFmtId="0" fontId="98" fillId="10" borderId="0" xfId="0" applyFont="1" applyFill="1" applyAlignment="1">
      <alignment vertical="center"/>
    </xf>
    <xf numFmtId="0" fontId="101" fillId="10" borderId="54" xfId="0" applyFont="1" applyFill="1" applyBorder="1" applyAlignment="1">
      <alignment vertical="center" wrapText="1"/>
    </xf>
    <xf numFmtId="0" fontId="101" fillId="10" borderId="103" xfId="0" applyFont="1" applyFill="1" applyBorder="1" applyAlignment="1">
      <alignment vertical="center" wrapText="1"/>
    </xf>
    <xf numFmtId="0" fontId="102" fillId="10" borderId="0" xfId="0" applyFont="1" applyFill="1" applyAlignment="1">
      <alignment vertical="center"/>
    </xf>
    <xf numFmtId="0" fontId="101" fillId="10" borderId="4" xfId="0" applyFont="1" applyFill="1" applyBorder="1" applyAlignment="1">
      <alignment vertical="center" wrapText="1"/>
    </xf>
    <xf numFmtId="0" fontId="101" fillId="10" borderId="53" xfId="0" applyFont="1" applyFill="1" applyBorder="1" applyAlignment="1">
      <alignment vertical="center" wrapText="1"/>
    </xf>
    <xf numFmtId="0" fontId="76" fillId="7" borderId="14" xfId="0" applyFont="1" applyFill="1" applyBorder="1" applyAlignment="1">
      <alignment horizontal="center" vertical="center"/>
    </xf>
    <xf numFmtId="0" fontId="88" fillId="10" borderId="54" xfId="0" applyFont="1" applyFill="1" applyBorder="1" applyAlignment="1">
      <alignment vertical="center" wrapText="1"/>
    </xf>
    <xf numFmtId="0" fontId="88" fillId="10" borderId="103" xfId="0" applyFont="1" applyFill="1" applyBorder="1" applyAlignment="1">
      <alignment vertical="center" wrapText="1"/>
    </xf>
    <xf numFmtId="0" fontId="88" fillId="10" borderId="4" xfId="0" applyFont="1" applyFill="1" applyBorder="1" applyAlignment="1">
      <alignment vertical="center" wrapText="1"/>
    </xf>
    <xf numFmtId="0" fontId="88" fillId="10" borderId="53" xfId="0" applyFont="1" applyFill="1" applyBorder="1" applyAlignment="1">
      <alignment vertical="center" wrapText="1"/>
    </xf>
    <xf numFmtId="0" fontId="88" fillId="11" borderId="2" xfId="0" applyFont="1" applyFill="1" applyBorder="1" applyAlignment="1">
      <alignment horizontal="center" vertical="center"/>
    </xf>
    <xf numFmtId="0" fontId="88" fillId="11" borderId="77" xfId="0" applyFont="1" applyFill="1" applyBorder="1" applyAlignment="1">
      <alignment horizontal="center" vertical="center" wrapText="1"/>
    </xf>
    <xf numFmtId="49" fontId="88" fillId="11" borderId="78" xfId="0" applyNumberFormat="1" applyFont="1" applyFill="1" applyBorder="1" applyAlignment="1">
      <alignment horizontal="center" vertical="center" wrapText="1"/>
    </xf>
    <xf numFmtId="49" fontId="89" fillId="2" borderId="72" xfId="0" applyNumberFormat="1" applyFont="1" applyFill="1" applyBorder="1" applyAlignment="1">
      <alignment horizontal="center" vertical="center"/>
    </xf>
    <xf numFmtId="0" fontId="89" fillId="2" borderId="73" xfId="0" applyFont="1" applyFill="1" applyBorder="1" applyAlignment="1">
      <alignment horizontal="center" vertical="center"/>
    </xf>
    <xf numFmtId="0" fontId="89" fillId="2" borderId="74" xfId="0" applyFont="1" applyFill="1" applyBorder="1" applyAlignment="1">
      <alignment horizontal="center" vertical="center"/>
    </xf>
    <xf numFmtId="49" fontId="89" fillId="2" borderId="74" xfId="0" applyNumberFormat="1" applyFont="1" applyFill="1" applyBorder="1" applyAlignment="1">
      <alignment horizontal="center" vertical="center"/>
    </xf>
    <xf numFmtId="0" fontId="88" fillId="11" borderId="7" xfId="0" applyFont="1" applyFill="1" applyBorder="1" applyAlignment="1">
      <alignment vertical="center" wrapText="1"/>
    </xf>
    <xf numFmtId="0" fontId="88" fillId="11" borderId="93" xfId="0" applyFont="1" applyFill="1" applyBorder="1" applyAlignment="1">
      <alignment vertical="center" wrapText="1"/>
    </xf>
    <xf numFmtId="0" fontId="88" fillId="11" borderId="94" xfId="0" applyFont="1" applyFill="1" applyBorder="1" applyAlignment="1">
      <alignment vertical="center" wrapText="1"/>
    </xf>
    <xf numFmtId="0" fontId="91" fillId="10" borderId="0" xfId="0" applyFont="1" applyFill="1" applyAlignment="1">
      <alignment vertical="center"/>
    </xf>
    <xf numFmtId="0" fontId="91" fillId="11" borderId="0" xfId="0" applyFont="1" applyFill="1" applyAlignment="1">
      <alignment vertical="center"/>
    </xf>
    <xf numFmtId="0" fontId="91" fillId="0" borderId="0" xfId="0" applyFont="1" applyAlignment="1">
      <alignment vertical="center"/>
    </xf>
    <xf numFmtId="3" fontId="91" fillId="6" borderId="0" xfId="0" applyNumberFormat="1" applyFont="1" applyFill="1" applyBorder="1" applyAlignment="1">
      <alignment horizontal="right" vertical="center"/>
    </xf>
    <xf numFmtId="0" fontId="89" fillId="10" borderId="0" xfId="0" applyFont="1" applyFill="1" applyAlignment="1">
      <alignment vertical="center"/>
    </xf>
    <xf numFmtId="49" fontId="89" fillId="2" borderId="0" xfId="0" applyNumberFormat="1" applyFont="1" applyFill="1" applyBorder="1" applyAlignment="1">
      <alignment horizontal="center" vertical="center"/>
    </xf>
    <xf numFmtId="0" fontId="89" fillId="2" borderId="0" xfId="0" applyFont="1" applyFill="1" applyBorder="1" applyAlignment="1">
      <alignment horizontal="left" vertical="center"/>
    </xf>
    <xf numFmtId="0" fontId="89" fillId="2" borderId="0" xfId="0" applyFont="1" applyFill="1" applyBorder="1" applyAlignment="1">
      <alignment horizontal="center" vertical="center"/>
    </xf>
    <xf numFmtId="3" fontId="89" fillId="6" borderId="0" xfId="0" applyNumberFormat="1" applyFont="1" applyFill="1" applyBorder="1" applyAlignment="1">
      <alignment horizontal="right" vertical="center"/>
    </xf>
    <xf numFmtId="49" fontId="98" fillId="2" borderId="0" xfId="0" applyNumberFormat="1" applyFont="1" applyFill="1" applyBorder="1" applyAlignment="1">
      <alignment horizontal="center" vertical="center"/>
    </xf>
    <xf numFmtId="0" fontId="98" fillId="2" borderId="0" xfId="0" applyFont="1" applyFill="1" applyBorder="1" applyAlignment="1">
      <alignment horizontal="justify" vertical="center"/>
    </xf>
    <xf numFmtId="0" fontId="98" fillId="2" borderId="0" xfId="0" applyFont="1" applyFill="1" applyBorder="1" applyAlignment="1">
      <alignment horizontal="center" vertical="center"/>
    </xf>
    <xf numFmtId="49" fontId="98" fillId="6" borderId="0" xfId="0" applyNumberFormat="1" applyFont="1" applyFill="1" applyBorder="1" applyAlignment="1">
      <alignment horizontal="center" vertical="center"/>
    </xf>
    <xf numFmtId="166" fontId="98" fillId="6" borderId="0" xfId="8" applyNumberFormat="1" applyFont="1" applyFill="1" applyBorder="1" applyAlignment="1">
      <alignment vertical="center"/>
    </xf>
    <xf numFmtId="164" fontId="98" fillId="2" borderId="0" xfId="8" applyFont="1" applyFill="1" applyBorder="1" applyAlignment="1">
      <alignment vertical="center"/>
    </xf>
    <xf numFmtId="0" fontId="88" fillId="10" borderId="14" xfId="0" applyFont="1" applyFill="1" applyBorder="1" applyAlignment="1">
      <alignment vertical="center" wrapText="1"/>
    </xf>
    <xf numFmtId="0" fontId="88" fillId="10" borderId="62" xfId="0" applyFont="1" applyFill="1" applyBorder="1" applyAlignment="1">
      <alignment vertical="center" wrapText="1"/>
    </xf>
    <xf numFmtId="0" fontId="88" fillId="10" borderId="63" xfId="0" applyFont="1" applyFill="1" applyBorder="1" applyAlignment="1">
      <alignment vertical="center" wrapText="1"/>
    </xf>
    <xf numFmtId="0" fontId="100" fillId="0" borderId="0" xfId="0" applyFont="1" applyBorder="1" applyAlignment="1">
      <alignment horizontal="right" vertical="center"/>
    </xf>
    <xf numFmtId="0" fontId="100" fillId="0" borderId="0" xfId="0" applyFont="1" applyBorder="1" applyAlignment="1">
      <alignment horizontal="center" vertical="center"/>
    </xf>
    <xf numFmtId="3" fontId="88" fillId="13" borderId="68" xfId="0" applyNumberFormat="1" applyFont="1" applyFill="1" applyBorder="1" applyAlignment="1">
      <alignment horizontal="right" vertical="center" wrapText="1"/>
    </xf>
    <xf numFmtId="0" fontId="46" fillId="13" borderId="1" xfId="0" applyFont="1" applyFill="1" applyBorder="1" applyAlignment="1">
      <alignment horizontal="center" vertical="center"/>
    </xf>
    <xf numFmtId="0" fontId="46" fillId="13" borderId="1" xfId="0" applyFont="1" applyFill="1" applyBorder="1" applyAlignment="1">
      <alignment horizontal="center" vertical="center" wrapText="1"/>
    </xf>
    <xf numFmtId="49" fontId="46" fillId="13" borderId="1" xfId="0" applyNumberFormat="1" applyFont="1" applyFill="1" applyBorder="1" applyAlignment="1">
      <alignment horizontal="center" vertical="center"/>
    </xf>
    <xf numFmtId="0" fontId="46" fillId="13" borderId="1" xfId="0" applyFont="1" applyFill="1" applyBorder="1" applyAlignment="1">
      <alignment horizontal="left" vertical="center"/>
    </xf>
    <xf numFmtId="0" fontId="46" fillId="11" borderId="1" xfId="0" applyFont="1" applyFill="1" applyBorder="1" applyAlignment="1">
      <alignment horizontal="center" vertical="center" wrapText="1"/>
    </xf>
    <xf numFmtId="49" fontId="46" fillId="11" borderId="1" xfId="0" applyNumberFormat="1" applyFont="1" applyFill="1" applyBorder="1" applyAlignment="1">
      <alignment horizontal="center" vertical="center" wrapText="1"/>
    </xf>
    <xf numFmtId="0" fontId="91" fillId="13" borderId="0" xfId="0" applyFont="1" applyFill="1" applyAlignment="1">
      <alignment vertical="center"/>
    </xf>
    <xf numFmtId="0" fontId="91" fillId="6" borderId="1" xfId="0" applyFont="1" applyFill="1" applyBorder="1" applyAlignment="1">
      <alignment horizontal="center" vertical="center" wrapText="1"/>
    </xf>
    <xf numFmtId="0" fontId="91" fillId="6" borderId="1" xfId="0" applyFont="1" applyFill="1" applyBorder="1" applyAlignment="1">
      <alignment horizontal="center" vertical="center"/>
    </xf>
    <xf numFmtId="49" fontId="91" fillId="6" borderId="2" xfId="0" applyNumberFormat="1" applyFont="1" applyFill="1" applyBorder="1" applyAlignment="1">
      <alignment horizontal="center" vertical="center"/>
    </xf>
    <xf numFmtId="0" fontId="46" fillId="11" borderId="1" xfId="0" applyFont="1" applyFill="1" applyBorder="1" applyAlignment="1">
      <alignment horizontal="center" vertical="center"/>
    </xf>
    <xf numFmtId="49" fontId="91" fillId="6" borderId="1" xfId="0" applyNumberFormat="1" applyFont="1" applyFill="1" applyBorder="1" applyAlignment="1">
      <alignment horizontal="center" vertical="center"/>
    </xf>
    <xf numFmtId="0" fontId="91" fillId="0" borderId="0" xfId="0" applyFont="1" applyBorder="1" applyAlignment="1">
      <alignment horizontal="right" vertical="center"/>
    </xf>
    <xf numFmtId="0" fontId="91" fillId="0" borderId="0" xfId="0" applyFont="1" applyBorder="1" applyAlignment="1">
      <alignment horizontal="center" vertical="center"/>
    </xf>
    <xf numFmtId="0" fontId="105" fillId="6" borderId="1" xfId="0" applyFont="1" applyFill="1" applyBorder="1" applyAlignment="1">
      <alignment horizontal="center" vertical="center" wrapText="1"/>
    </xf>
    <xf numFmtId="0" fontId="91" fillId="6" borderId="14" xfId="0" applyFont="1" applyFill="1" applyBorder="1" applyAlignment="1">
      <alignment horizontal="left" vertical="center" wrapText="1"/>
    </xf>
    <xf numFmtId="0" fontId="91" fillId="6" borderId="63" xfId="0" applyFont="1" applyFill="1" applyBorder="1" applyAlignment="1">
      <alignment horizontal="left" vertical="center" wrapText="1"/>
    </xf>
    <xf numFmtId="0" fontId="91" fillId="6" borderId="79" xfId="0" applyFont="1" applyFill="1" applyBorder="1" applyAlignment="1">
      <alignment horizontal="center" vertical="center"/>
    </xf>
    <xf numFmtId="49" fontId="91" fillId="6" borderId="79" xfId="0" applyNumberFormat="1" applyFont="1" applyFill="1" applyBorder="1" applyAlignment="1">
      <alignment horizontal="center" vertical="center"/>
    </xf>
    <xf numFmtId="0" fontId="91" fillId="7" borderId="1" xfId="0" applyFont="1" applyFill="1" applyBorder="1" applyAlignment="1">
      <alignment horizontal="center" vertical="center" wrapText="1"/>
    </xf>
    <xf numFmtId="0" fontId="91" fillId="7" borderId="79" xfId="0" applyFont="1" applyFill="1" applyBorder="1" applyAlignment="1">
      <alignment horizontal="center" vertical="center"/>
    </xf>
    <xf numFmtId="49" fontId="91" fillId="7" borderId="79" xfId="0" applyNumberFormat="1" applyFont="1" applyFill="1" applyBorder="1" applyAlignment="1">
      <alignment horizontal="center" vertical="center"/>
    </xf>
    <xf numFmtId="0" fontId="105" fillId="7" borderId="1" xfId="0" applyFont="1" applyFill="1" applyBorder="1" applyAlignment="1">
      <alignment horizontal="center" vertical="center" wrapText="1"/>
    </xf>
    <xf numFmtId="49" fontId="91" fillId="7" borderId="1" xfId="0" applyNumberFormat="1" applyFont="1" applyFill="1" applyBorder="1" applyAlignment="1">
      <alignment horizontal="center" vertical="center"/>
    </xf>
    <xf numFmtId="4" fontId="91" fillId="6" borderId="1" xfId="0" applyNumberFormat="1" applyFont="1" applyFill="1" applyBorder="1" applyAlignment="1">
      <alignment horizontal="center" vertical="center" wrapText="1"/>
    </xf>
    <xf numFmtId="3" fontId="91" fillId="6" borderId="1" xfId="0" applyNumberFormat="1" applyFont="1" applyFill="1" applyBorder="1" applyAlignment="1">
      <alignment horizontal="center" vertical="center" wrapText="1"/>
    </xf>
    <xf numFmtId="0" fontId="46" fillId="21" borderId="1" xfId="0" applyFont="1" applyFill="1" applyBorder="1" applyAlignment="1">
      <alignment horizontal="center" vertical="center"/>
    </xf>
    <xf numFmtId="0" fontId="46" fillId="21" borderId="1" xfId="0" applyFont="1" applyFill="1" applyBorder="1" applyAlignment="1">
      <alignment horizontal="center" vertical="center" wrapText="1"/>
    </xf>
    <xf numFmtId="49" fontId="46" fillId="21" borderId="1" xfId="0" applyNumberFormat="1" applyFont="1" applyFill="1" applyBorder="1" applyAlignment="1">
      <alignment horizontal="center" vertical="center"/>
    </xf>
    <xf numFmtId="0" fontId="46" fillId="21" borderId="1" xfId="0" applyFont="1" applyFill="1" applyBorder="1" applyAlignment="1">
      <alignment horizontal="left" vertical="center"/>
    </xf>
    <xf numFmtId="0" fontId="91" fillId="21" borderId="0" xfId="0" applyFont="1" applyFill="1" applyAlignment="1">
      <alignment vertical="center"/>
    </xf>
    <xf numFmtId="0" fontId="91" fillId="6" borderId="0" xfId="0" applyFont="1" applyFill="1" applyBorder="1" applyAlignment="1">
      <alignment horizontal="center" vertical="center" wrapText="1"/>
    </xf>
    <xf numFmtId="4" fontId="91" fillId="6" borderId="0" xfId="0" applyNumberFormat="1" applyFont="1" applyFill="1" applyBorder="1" applyAlignment="1">
      <alignment horizontal="center" vertical="center" wrapText="1"/>
    </xf>
    <xf numFmtId="0" fontId="91" fillId="6" borderId="0" xfId="0" applyFont="1" applyFill="1" applyBorder="1" applyAlignment="1">
      <alignment horizontal="center" vertical="center"/>
    </xf>
    <xf numFmtId="49" fontId="91" fillId="6" borderId="0" xfId="0" applyNumberFormat="1" applyFont="1" applyFill="1" applyBorder="1" applyAlignment="1">
      <alignment horizontal="center" vertical="center"/>
    </xf>
    <xf numFmtId="0" fontId="91" fillId="6" borderId="2" xfId="0" applyFont="1" applyFill="1" applyBorder="1" applyAlignment="1">
      <alignment horizontal="center" vertical="center"/>
    </xf>
    <xf numFmtId="9" fontId="91" fillId="6" borderId="1" xfId="0" applyNumberFormat="1" applyFont="1" applyFill="1" applyBorder="1" applyAlignment="1">
      <alignment horizontal="center" vertical="center" wrapText="1"/>
    </xf>
    <xf numFmtId="4" fontId="105" fillId="6" borderId="1" xfId="0" applyNumberFormat="1" applyFont="1" applyFill="1" applyBorder="1" applyAlignment="1">
      <alignment horizontal="center" vertical="center" wrapText="1"/>
    </xf>
    <xf numFmtId="0" fontId="105" fillId="6" borderId="14" xfId="0" applyFont="1" applyFill="1" applyBorder="1" applyAlignment="1">
      <alignment horizontal="left" vertical="center" wrapText="1"/>
    </xf>
    <xf numFmtId="0" fontId="105" fillId="6" borderId="63" xfId="0" applyFont="1" applyFill="1" applyBorder="1" applyAlignment="1">
      <alignment horizontal="left" vertical="center" wrapText="1"/>
    </xf>
    <xf numFmtId="4" fontId="91" fillId="7" borderId="1" xfId="0" applyNumberFormat="1" applyFont="1" applyFill="1" applyBorder="1" applyAlignment="1">
      <alignment horizontal="center" vertical="center" wrapText="1"/>
    </xf>
    <xf numFmtId="4" fontId="105" fillId="7" borderId="1" xfId="0" applyNumberFormat="1" applyFont="1" applyFill="1" applyBorder="1" applyAlignment="1">
      <alignment horizontal="center" vertical="center" wrapText="1"/>
    </xf>
    <xf numFmtId="0" fontId="91" fillId="6" borderId="2" xfId="0" applyFont="1" applyFill="1" applyBorder="1" applyAlignment="1">
      <alignment horizontal="center" vertical="center" wrapText="1"/>
    </xf>
    <xf numFmtId="4" fontId="91" fillId="6" borderId="2" xfId="0" applyNumberFormat="1" applyFont="1" applyFill="1" applyBorder="1" applyAlignment="1">
      <alignment horizontal="center" vertical="center" wrapText="1"/>
    </xf>
    <xf numFmtId="0" fontId="91" fillId="0" borderId="54" xfId="0" applyFont="1" applyBorder="1" applyAlignment="1">
      <alignment vertical="center"/>
    </xf>
    <xf numFmtId="3" fontId="89" fillId="7" borderId="1" xfId="0" applyNumberFormat="1" applyFont="1" applyFill="1" applyBorder="1" applyAlignment="1">
      <alignment horizontal="right" vertical="center"/>
    </xf>
    <xf numFmtId="3" fontId="89" fillId="6" borderId="2" xfId="0" applyNumberFormat="1" applyFont="1" applyFill="1" applyBorder="1" applyAlignment="1">
      <alignment horizontal="right" vertical="center"/>
    </xf>
    <xf numFmtId="3" fontId="91" fillId="6" borderId="54" xfId="0" applyNumberFormat="1" applyFont="1" applyFill="1" applyBorder="1" applyAlignment="1">
      <alignment horizontal="right" vertical="center"/>
    </xf>
    <xf numFmtId="0" fontId="91" fillId="11" borderId="0" xfId="0" applyFont="1" applyFill="1" applyBorder="1" applyAlignment="1">
      <alignment vertical="center"/>
    </xf>
    <xf numFmtId="0" fontId="92" fillId="6" borderId="1" xfId="0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/>
    </xf>
    <xf numFmtId="1" fontId="76" fillId="0" borderId="1" xfId="0" applyNumberFormat="1" applyFont="1" applyFill="1" applyBorder="1" applyAlignment="1">
      <alignment horizontal="center" vertical="center"/>
    </xf>
    <xf numFmtId="3" fontId="90" fillId="0" borderId="1" xfId="0" applyNumberFormat="1" applyFont="1" applyFill="1" applyBorder="1" applyAlignment="1">
      <alignment horizontal="right" vertical="center"/>
    </xf>
    <xf numFmtId="0" fontId="101" fillId="10" borderId="2" xfId="0" applyFont="1" applyFill="1" applyBorder="1" applyAlignment="1">
      <alignment horizontal="center" vertical="center" wrapText="1"/>
    </xf>
    <xf numFmtId="0" fontId="101" fillId="10" borderId="79" xfId="0" applyFont="1" applyFill="1" applyBorder="1" applyAlignment="1">
      <alignment horizontal="center" vertical="center" wrapText="1"/>
    </xf>
    <xf numFmtId="0" fontId="101" fillId="10" borderId="1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0" fontId="99" fillId="0" borderId="0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46" fillId="10" borderId="2" xfId="0" applyFont="1" applyFill="1" applyBorder="1" applyAlignment="1">
      <alignment horizontal="center" vertical="center" wrapText="1"/>
    </xf>
    <xf numFmtId="0" fontId="46" fillId="10" borderId="79" xfId="0" applyFont="1" applyFill="1" applyBorder="1" applyAlignment="1">
      <alignment horizontal="center" vertical="center" wrapText="1"/>
    </xf>
    <xf numFmtId="0" fontId="101" fillId="10" borderId="6" xfId="0" applyFont="1" applyFill="1" applyBorder="1" applyAlignment="1">
      <alignment horizontal="center" vertical="center" wrapText="1"/>
    </xf>
    <xf numFmtId="0" fontId="101" fillId="10" borderId="52" xfId="0" applyFont="1" applyFill="1" applyBorder="1" applyAlignment="1">
      <alignment horizontal="center" vertical="center" wrapText="1"/>
    </xf>
    <xf numFmtId="0" fontId="101" fillId="10" borderId="103" xfId="0" applyFont="1" applyFill="1" applyBorder="1" applyAlignment="1">
      <alignment horizontal="center" vertical="center" wrapText="1"/>
    </xf>
    <xf numFmtId="0" fontId="101" fillId="10" borderId="53" xfId="0" applyFont="1" applyFill="1" applyBorder="1" applyAlignment="1">
      <alignment horizontal="center" vertical="center" wrapText="1"/>
    </xf>
    <xf numFmtId="0" fontId="46" fillId="11" borderId="7" xfId="0" applyFont="1" applyFill="1" applyBorder="1" applyAlignment="1">
      <alignment horizontal="justify" vertical="center" wrapText="1"/>
    </xf>
    <xf numFmtId="0" fontId="46" fillId="11" borderId="93" xfId="0" applyFont="1" applyFill="1" applyBorder="1" applyAlignment="1">
      <alignment horizontal="justify" vertical="center" wrapText="1"/>
    </xf>
    <xf numFmtId="0" fontId="46" fillId="11" borderId="94" xfId="0" applyFont="1" applyFill="1" applyBorder="1" applyAlignment="1">
      <alignment horizontal="justify" vertical="center" wrapText="1"/>
    </xf>
    <xf numFmtId="0" fontId="91" fillId="2" borderId="85" xfId="0" applyFont="1" applyFill="1" applyBorder="1" applyAlignment="1">
      <alignment horizontal="justify" vertical="center"/>
    </xf>
    <xf numFmtId="0" fontId="91" fillId="2" borderId="86" xfId="0" applyFont="1" applyFill="1" applyBorder="1" applyAlignment="1">
      <alignment horizontal="justify" vertical="center"/>
    </xf>
    <xf numFmtId="0" fontId="91" fillId="2" borderId="87" xfId="0" applyFont="1" applyFill="1" applyBorder="1" applyAlignment="1">
      <alignment horizontal="justify" vertical="center"/>
    </xf>
    <xf numFmtId="0" fontId="91" fillId="2" borderId="85" xfId="0" applyFont="1" applyFill="1" applyBorder="1" applyAlignment="1">
      <alignment horizontal="left" vertical="center"/>
    </xf>
    <xf numFmtId="0" fontId="91" fillId="2" borderId="86" xfId="0" applyFont="1" applyFill="1" applyBorder="1" applyAlignment="1">
      <alignment horizontal="left" vertical="center"/>
    </xf>
    <xf numFmtId="0" fontId="91" fillId="2" borderId="87" xfId="0" applyFont="1" applyFill="1" applyBorder="1" applyAlignment="1">
      <alignment horizontal="left" vertical="center"/>
    </xf>
    <xf numFmtId="0" fontId="91" fillId="2" borderId="14" xfId="0" applyFont="1" applyFill="1" applyBorder="1" applyAlignment="1">
      <alignment horizontal="justify" vertical="center"/>
    </xf>
    <xf numFmtId="0" fontId="91" fillId="2" borderId="62" xfId="0" applyFont="1" applyFill="1" applyBorder="1" applyAlignment="1">
      <alignment horizontal="justify" vertical="center"/>
    </xf>
    <xf numFmtId="0" fontId="91" fillId="2" borderId="63" xfId="0" applyFont="1" applyFill="1" applyBorder="1" applyAlignment="1">
      <alignment horizontal="justify" vertical="center"/>
    </xf>
    <xf numFmtId="0" fontId="46" fillId="10" borderId="14" xfId="0" applyFont="1" applyFill="1" applyBorder="1" applyAlignment="1">
      <alignment horizontal="center" vertical="center" wrapText="1"/>
    </xf>
    <xf numFmtId="0" fontId="46" fillId="10" borderId="62" xfId="0" applyFont="1" applyFill="1" applyBorder="1" applyAlignment="1">
      <alignment horizontal="center" vertical="center" wrapText="1"/>
    </xf>
    <xf numFmtId="0" fontId="46" fillId="10" borderId="63" xfId="0" applyFont="1" applyFill="1" applyBorder="1" applyAlignment="1">
      <alignment horizontal="center" vertical="center" wrapText="1"/>
    </xf>
    <xf numFmtId="0" fontId="76" fillId="7" borderId="14" xfId="0" applyFont="1" applyFill="1" applyBorder="1" applyAlignment="1">
      <alignment horizontal="left" vertical="center"/>
    </xf>
    <xf numFmtId="0" fontId="76" fillId="7" borderId="62" xfId="0" applyFont="1" applyFill="1" applyBorder="1" applyAlignment="1">
      <alignment horizontal="left" vertical="center"/>
    </xf>
    <xf numFmtId="0" fontId="76" fillId="7" borderId="63" xfId="0" applyFont="1" applyFill="1" applyBorder="1" applyAlignment="1">
      <alignment horizontal="left" vertical="center"/>
    </xf>
    <xf numFmtId="0" fontId="76" fillId="2" borderId="1" xfId="0" applyFont="1" applyFill="1" applyBorder="1" applyAlignment="1">
      <alignment horizontal="left" vertical="center"/>
    </xf>
    <xf numFmtId="0" fontId="76" fillId="7" borderId="14" xfId="0" applyFont="1" applyFill="1" applyBorder="1" applyAlignment="1">
      <alignment horizontal="left" vertical="center" wrapText="1"/>
    </xf>
    <xf numFmtId="0" fontId="76" fillId="7" borderId="62" xfId="0" applyFont="1" applyFill="1" applyBorder="1" applyAlignment="1">
      <alignment horizontal="left" vertical="center" wrapText="1"/>
    </xf>
    <xf numFmtId="0" fontId="76" fillId="7" borderId="63" xfId="0" applyFont="1" applyFill="1" applyBorder="1" applyAlignment="1">
      <alignment horizontal="left" vertical="center" wrapText="1"/>
    </xf>
    <xf numFmtId="0" fontId="44" fillId="11" borderId="14" xfId="0" applyFont="1" applyFill="1" applyBorder="1" applyAlignment="1">
      <alignment horizontal="left" vertical="center" wrapText="1"/>
    </xf>
    <xf numFmtId="0" fontId="44" fillId="11" borderId="62" xfId="0" applyFont="1" applyFill="1" applyBorder="1" applyAlignment="1">
      <alignment horizontal="left" vertical="center" wrapText="1"/>
    </xf>
    <xf numFmtId="0" fontId="44" fillId="11" borderId="63" xfId="0" applyFont="1" applyFill="1" applyBorder="1" applyAlignment="1">
      <alignment horizontal="left" vertical="center" wrapText="1"/>
    </xf>
    <xf numFmtId="0" fontId="76" fillId="6" borderId="14" xfId="0" applyFont="1" applyFill="1" applyBorder="1" applyAlignment="1">
      <alignment horizontal="left" vertical="center"/>
    </xf>
    <xf numFmtId="0" fontId="76" fillId="6" borderId="62" xfId="0" applyFont="1" applyFill="1" applyBorder="1" applyAlignment="1">
      <alignment horizontal="left" vertical="center"/>
    </xf>
    <xf numFmtId="0" fontId="76" fillId="6" borderId="63" xfId="0" applyFont="1" applyFill="1" applyBorder="1" applyAlignment="1">
      <alignment horizontal="left" vertical="center"/>
    </xf>
    <xf numFmtId="0" fontId="44" fillId="10" borderId="14" xfId="0" applyFont="1" applyFill="1" applyBorder="1" applyAlignment="1">
      <alignment horizontal="center" vertical="center" wrapText="1"/>
    </xf>
    <xf numFmtId="0" fontId="44" fillId="10" borderId="62" xfId="0" applyFont="1" applyFill="1" applyBorder="1" applyAlignment="1">
      <alignment horizontal="center" vertical="center" wrapText="1"/>
    </xf>
    <xf numFmtId="0" fontId="44" fillId="10" borderId="90" xfId="0" applyFont="1" applyFill="1" applyBorder="1" applyAlignment="1">
      <alignment horizontal="center" vertical="center" wrapText="1"/>
    </xf>
    <xf numFmtId="0" fontId="76" fillId="6" borderId="14" xfId="0" applyFont="1" applyFill="1" applyBorder="1" applyAlignment="1">
      <alignment horizontal="left" vertical="center" wrapText="1"/>
    </xf>
    <xf numFmtId="0" fontId="76" fillId="6" borderId="62" xfId="0" applyFont="1" applyFill="1" applyBorder="1" applyAlignment="1">
      <alignment horizontal="left" vertical="center" wrapText="1"/>
    </xf>
    <xf numFmtId="0" fontId="76" fillId="6" borderId="63" xfId="0" applyFont="1" applyFill="1" applyBorder="1" applyAlignment="1">
      <alignment horizontal="left" vertical="center" wrapText="1"/>
    </xf>
    <xf numFmtId="0" fontId="76" fillId="0" borderId="14" xfId="0" applyFont="1" applyFill="1" applyBorder="1" applyAlignment="1">
      <alignment horizontal="left" vertical="center"/>
    </xf>
    <xf numFmtId="0" fontId="76" fillId="0" borderId="62" xfId="0" applyFont="1" applyFill="1" applyBorder="1" applyAlignment="1">
      <alignment horizontal="left" vertical="center"/>
    </xf>
    <xf numFmtId="0" fontId="76" fillId="0" borderId="63" xfId="0" applyFont="1" applyFill="1" applyBorder="1" applyAlignment="1">
      <alignment horizontal="left" vertical="center"/>
    </xf>
    <xf numFmtId="0" fontId="76" fillId="2" borderId="14" xfId="0" applyFont="1" applyFill="1" applyBorder="1" applyAlignment="1">
      <alignment horizontal="left" vertical="center" wrapText="1"/>
    </xf>
    <xf numFmtId="0" fontId="76" fillId="2" borderId="62" xfId="0" applyFont="1" applyFill="1" applyBorder="1" applyAlignment="1">
      <alignment horizontal="left" vertical="center" wrapText="1"/>
    </xf>
    <xf numFmtId="0" fontId="76" fillId="2" borderId="63" xfId="0" applyFont="1" applyFill="1" applyBorder="1" applyAlignment="1">
      <alignment horizontal="left" vertical="center" wrapText="1"/>
    </xf>
    <xf numFmtId="0" fontId="74" fillId="0" borderId="0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44" fillId="10" borderId="6" xfId="0" applyFont="1" applyFill="1" applyBorder="1" applyAlignment="1">
      <alignment horizontal="center" vertical="center" wrapText="1"/>
    </xf>
    <xf numFmtId="0" fontId="44" fillId="10" borderId="54" xfId="0" applyFont="1" applyFill="1" applyBorder="1" applyAlignment="1">
      <alignment horizontal="center" vertical="center" wrapText="1"/>
    </xf>
    <xf numFmtId="0" fontId="44" fillId="10" borderId="103" xfId="0" applyFont="1" applyFill="1" applyBorder="1" applyAlignment="1">
      <alignment horizontal="center" vertical="center" wrapText="1"/>
    </xf>
    <xf numFmtId="0" fontId="44" fillId="10" borderId="52" xfId="0" applyFont="1" applyFill="1" applyBorder="1" applyAlignment="1">
      <alignment horizontal="center" vertical="center" wrapText="1"/>
    </xf>
    <xf numFmtId="0" fontId="44" fillId="10" borderId="4" xfId="0" applyFont="1" applyFill="1" applyBorder="1" applyAlignment="1">
      <alignment horizontal="center" vertical="center" wrapText="1"/>
    </xf>
    <xf numFmtId="0" fontId="44" fillId="10" borderId="53" xfId="0" applyFont="1" applyFill="1" applyBorder="1" applyAlignment="1">
      <alignment horizontal="center" vertical="center" wrapText="1"/>
    </xf>
    <xf numFmtId="0" fontId="44" fillId="10" borderId="2" xfId="0" applyFont="1" applyFill="1" applyBorder="1" applyAlignment="1">
      <alignment horizontal="center" vertical="center" wrapText="1"/>
    </xf>
    <xf numFmtId="0" fontId="44" fillId="10" borderId="79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91" fillId="0" borderId="0" xfId="0" applyFont="1" applyBorder="1" applyAlignment="1">
      <alignment horizontal="left" vertical="center" wrapText="1"/>
    </xf>
    <xf numFmtId="0" fontId="91" fillId="0" borderId="0" xfId="0" applyFont="1" applyBorder="1" applyAlignment="1">
      <alignment horizontal="left" vertical="center"/>
    </xf>
    <xf numFmtId="0" fontId="74" fillId="6" borderId="4" xfId="0" applyFont="1" applyFill="1" applyBorder="1" applyAlignment="1">
      <alignment horizontal="center" vertical="center" wrapText="1"/>
    </xf>
    <xf numFmtId="0" fontId="92" fillId="6" borderId="2" xfId="0" applyFont="1" applyFill="1" applyBorder="1" applyAlignment="1">
      <alignment horizontal="center" vertical="center"/>
    </xf>
    <xf numFmtId="0" fontId="92" fillId="6" borderId="109" xfId="0" applyFont="1" applyFill="1" applyBorder="1" applyAlignment="1">
      <alignment horizontal="center" vertical="center"/>
    </xf>
    <xf numFmtId="0" fontId="92" fillId="6" borderId="79" xfId="0" applyFont="1" applyFill="1" applyBorder="1" applyAlignment="1">
      <alignment horizontal="center" vertical="center"/>
    </xf>
    <xf numFmtId="0" fontId="76" fillId="6" borderId="2" xfId="0" applyFont="1" applyFill="1" applyBorder="1" applyAlignment="1">
      <alignment horizontal="center" vertical="center"/>
    </xf>
    <xf numFmtId="0" fontId="76" fillId="6" borderId="109" xfId="0" applyFont="1" applyFill="1" applyBorder="1" applyAlignment="1">
      <alignment horizontal="center" vertical="center"/>
    </xf>
    <xf numFmtId="0" fontId="76" fillId="6" borderId="79" xfId="0" applyFont="1" applyFill="1" applyBorder="1" applyAlignment="1">
      <alignment horizontal="center" vertical="center"/>
    </xf>
    <xf numFmtId="1" fontId="76" fillId="6" borderId="2" xfId="0" applyNumberFormat="1" applyFont="1" applyFill="1" applyBorder="1" applyAlignment="1">
      <alignment horizontal="center" vertical="center"/>
    </xf>
    <xf numFmtId="1" fontId="76" fillId="6" borderId="109" xfId="0" applyNumberFormat="1" applyFont="1" applyFill="1" applyBorder="1" applyAlignment="1">
      <alignment horizontal="center" vertical="center"/>
    </xf>
    <xf numFmtId="1" fontId="76" fillId="6" borderId="79" xfId="0" applyNumberFormat="1" applyFont="1" applyFill="1" applyBorder="1" applyAlignment="1">
      <alignment horizontal="center" vertical="center"/>
    </xf>
    <xf numFmtId="0" fontId="88" fillId="10" borderId="14" xfId="0" applyFont="1" applyFill="1" applyBorder="1" applyAlignment="1">
      <alignment horizontal="center" vertical="center" wrapText="1"/>
    </xf>
    <xf numFmtId="0" fontId="88" fillId="10" borderId="62" xfId="0" applyFont="1" applyFill="1" applyBorder="1" applyAlignment="1">
      <alignment horizontal="center" vertical="center" wrapText="1"/>
    </xf>
    <xf numFmtId="0" fontId="44" fillId="10" borderId="6" xfId="0" applyFont="1" applyFill="1" applyBorder="1" applyAlignment="1">
      <alignment horizontal="left" vertical="center" wrapText="1"/>
    </xf>
    <xf numFmtId="0" fontId="44" fillId="10" borderId="103" xfId="0" applyFont="1" applyFill="1" applyBorder="1" applyAlignment="1">
      <alignment horizontal="left" vertical="center" wrapText="1"/>
    </xf>
    <xf numFmtId="0" fontId="44" fillId="10" borderId="52" xfId="0" applyFont="1" applyFill="1" applyBorder="1" applyAlignment="1">
      <alignment horizontal="left" vertical="center" wrapText="1"/>
    </xf>
    <xf numFmtId="0" fontId="44" fillId="10" borderId="53" xfId="0" applyFont="1" applyFill="1" applyBorder="1" applyAlignment="1">
      <alignment horizontal="left" vertical="center" wrapText="1"/>
    </xf>
    <xf numFmtId="0" fontId="94" fillId="6" borderId="14" xfId="0" applyFont="1" applyFill="1" applyBorder="1" applyAlignment="1">
      <alignment horizontal="left" vertical="center" wrapText="1"/>
    </xf>
    <xf numFmtId="0" fontId="94" fillId="6" borderId="62" xfId="0" applyFont="1" applyFill="1" applyBorder="1" applyAlignment="1">
      <alignment horizontal="left" vertical="center" wrapText="1"/>
    </xf>
    <xf numFmtId="0" fontId="94" fillId="6" borderId="63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74" fillId="6" borderId="0" xfId="0" applyFont="1" applyFill="1" applyBorder="1" applyAlignment="1">
      <alignment horizontal="center" vertical="center" wrapText="1"/>
    </xf>
    <xf numFmtId="0" fontId="44" fillId="11" borderId="14" xfId="0" applyFont="1" applyFill="1" applyBorder="1" applyAlignment="1">
      <alignment horizontal="left" vertical="center"/>
    </xf>
    <xf numFmtId="0" fontId="44" fillId="11" borderId="63" xfId="0" applyFont="1" applyFill="1" applyBorder="1" applyAlignment="1">
      <alignment horizontal="left" vertical="center"/>
    </xf>
    <xf numFmtId="0" fontId="91" fillId="6" borderId="54" xfId="0" applyFont="1" applyFill="1" applyBorder="1" applyAlignment="1">
      <alignment horizontal="left" vertical="center" wrapText="1"/>
    </xf>
    <xf numFmtId="0" fontId="46" fillId="0" borderId="4" xfId="0" applyFont="1" applyBorder="1" applyAlignment="1">
      <alignment horizontal="center" vertical="center"/>
    </xf>
    <xf numFmtId="0" fontId="91" fillId="6" borderId="14" xfId="0" applyFont="1" applyFill="1" applyBorder="1" applyAlignment="1">
      <alignment horizontal="left" vertical="center" wrapText="1"/>
    </xf>
    <xf numFmtId="0" fontId="91" fillId="6" borderId="63" xfId="0" applyFont="1" applyFill="1" applyBorder="1" applyAlignment="1">
      <alignment horizontal="left" vertical="center" wrapText="1"/>
    </xf>
    <xf numFmtId="0" fontId="46" fillId="11" borderId="14" xfId="0" applyFont="1" applyFill="1" applyBorder="1" applyAlignment="1">
      <alignment horizontal="left" vertical="center" wrapText="1"/>
    </xf>
    <xf numFmtId="0" fontId="46" fillId="11" borderId="63" xfId="0" applyFont="1" applyFill="1" applyBorder="1" applyAlignment="1">
      <alignment horizontal="left" vertical="center" wrapText="1"/>
    </xf>
    <xf numFmtId="0" fontId="91" fillId="6" borderId="2" xfId="0" applyFont="1" applyFill="1" applyBorder="1" applyAlignment="1">
      <alignment horizontal="center" vertical="center"/>
    </xf>
    <xf numFmtId="0" fontId="91" fillId="6" borderId="109" xfId="0" applyFont="1" applyFill="1" applyBorder="1" applyAlignment="1">
      <alignment horizontal="center" vertical="center"/>
    </xf>
    <xf numFmtId="0" fontId="91" fillId="6" borderId="79" xfId="0" applyFont="1" applyFill="1" applyBorder="1" applyAlignment="1">
      <alignment horizontal="center" vertical="center"/>
    </xf>
    <xf numFmtId="49" fontId="91" fillId="6" borderId="2" xfId="0" applyNumberFormat="1" applyFont="1" applyFill="1" applyBorder="1" applyAlignment="1">
      <alignment horizontal="center" vertical="center"/>
    </xf>
    <xf numFmtId="49" fontId="91" fillId="6" borderId="109" xfId="0" applyNumberFormat="1" applyFont="1" applyFill="1" applyBorder="1" applyAlignment="1">
      <alignment horizontal="center" vertical="center"/>
    </xf>
    <xf numFmtId="49" fontId="91" fillId="6" borderId="79" xfId="0" applyNumberFormat="1" applyFont="1" applyFill="1" applyBorder="1" applyAlignment="1">
      <alignment horizontal="center" vertical="center"/>
    </xf>
    <xf numFmtId="0" fontId="88" fillId="10" borderId="69" xfId="0" applyFont="1" applyFill="1" applyBorder="1" applyAlignment="1">
      <alignment horizontal="center" vertical="center" wrapText="1"/>
    </xf>
    <xf numFmtId="0" fontId="88" fillId="10" borderId="126" xfId="0" applyFont="1" applyFill="1" applyBorder="1" applyAlignment="1">
      <alignment horizontal="center" vertical="center" wrapText="1"/>
    </xf>
    <xf numFmtId="0" fontId="88" fillId="10" borderId="71" xfId="0" applyFont="1" applyFill="1" applyBorder="1" applyAlignment="1">
      <alignment horizontal="center" vertical="center" wrapText="1"/>
    </xf>
    <xf numFmtId="0" fontId="88" fillId="10" borderId="125" xfId="0" applyFont="1" applyFill="1" applyBorder="1" applyAlignment="1">
      <alignment horizontal="center" vertical="center" wrapText="1"/>
    </xf>
    <xf numFmtId="0" fontId="88" fillId="10" borderId="1" xfId="0" applyFont="1" applyFill="1" applyBorder="1" applyAlignment="1">
      <alignment horizontal="center" vertical="center" wrapText="1"/>
    </xf>
    <xf numFmtId="0" fontId="89" fillId="2" borderId="85" xfId="0" applyFont="1" applyFill="1" applyBorder="1" applyAlignment="1">
      <alignment horizontal="left" vertical="center"/>
    </xf>
    <xf numFmtId="0" fontId="89" fillId="2" borderId="86" xfId="0" applyFont="1" applyFill="1" applyBorder="1" applyAlignment="1">
      <alignment horizontal="left" vertical="center"/>
    </xf>
    <xf numFmtId="0" fontId="89" fillId="2" borderId="87" xfId="0" applyFont="1" applyFill="1" applyBorder="1" applyAlignment="1">
      <alignment horizontal="left" vertical="center"/>
    </xf>
    <xf numFmtId="0" fontId="88" fillId="11" borderId="7" xfId="0" applyFont="1" applyFill="1" applyBorder="1" applyAlignment="1">
      <alignment horizontal="left" vertical="center" wrapText="1"/>
    </xf>
    <xf numFmtId="0" fontId="88" fillId="11" borderId="93" xfId="0" applyFont="1" applyFill="1" applyBorder="1" applyAlignment="1">
      <alignment horizontal="left" vertical="center" wrapText="1"/>
    </xf>
    <xf numFmtId="0" fontId="88" fillId="11" borderId="94" xfId="0" applyFont="1" applyFill="1" applyBorder="1" applyAlignment="1">
      <alignment horizontal="left" vertical="center" wrapText="1"/>
    </xf>
    <xf numFmtId="0" fontId="88" fillId="10" borderId="2" xfId="0" applyFont="1" applyFill="1" applyBorder="1" applyAlignment="1">
      <alignment horizontal="center" vertical="center" wrapText="1"/>
    </xf>
    <xf numFmtId="0" fontId="88" fillId="10" borderId="79" xfId="0" applyFont="1" applyFill="1" applyBorder="1" applyAlignment="1">
      <alignment horizontal="center" vertical="center" wrapText="1"/>
    </xf>
    <xf numFmtId="0" fontId="88" fillId="11" borderId="64" xfId="0" applyFont="1" applyFill="1" applyBorder="1" applyAlignment="1">
      <alignment horizontal="left" vertical="center" wrapText="1"/>
    </xf>
    <xf numFmtId="0" fontId="88" fillId="11" borderId="127" xfId="0" applyFont="1" applyFill="1" applyBorder="1" applyAlignment="1">
      <alignment horizontal="left" vertical="center" wrapText="1"/>
    </xf>
    <xf numFmtId="0" fontId="88" fillId="11" borderId="128" xfId="0" applyFont="1" applyFill="1" applyBorder="1" applyAlignment="1">
      <alignment horizontal="left" vertical="center" wrapText="1"/>
    </xf>
    <xf numFmtId="0" fontId="88" fillId="10" borderId="6" xfId="0" applyFont="1" applyFill="1" applyBorder="1" applyAlignment="1">
      <alignment horizontal="center" vertical="center" wrapText="1"/>
    </xf>
    <xf numFmtId="0" fontId="88" fillId="10" borderId="52" xfId="0" applyFont="1" applyFill="1" applyBorder="1" applyAlignment="1">
      <alignment horizontal="center" vertical="center" wrapText="1"/>
    </xf>
    <xf numFmtId="0" fontId="94" fillId="7" borderId="14" xfId="0" applyFont="1" applyFill="1" applyBorder="1" applyAlignment="1">
      <alignment horizontal="left" vertical="center" wrapText="1"/>
    </xf>
    <xf numFmtId="0" fontId="94" fillId="7" borderId="63" xfId="0" applyFont="1" applyFill="1" applyBorder="1" applyAlignment="1">
      <alignment horizontal="left" vertical="center" wrapText="1"/>
    </xf>
    <xf numFmtId="0" fontId="76" fillId="6" borderId="0" xfId="0" applyFont="1" applyFill="1" applyBorder="1" applyAlignment="1">
      <alignment horizontal="left" vertical="center" wrapText="1"/>
    </xf>
    <xf numFmtId="49" fontId="76" fillId="6" borderId="2" xfId="0" applyNumberFormat="1" applyFont="1" applyFill="1" applyBorder="1" applyAlignment="1">
      <alignment horizontal="center" vertical="center"/>
    </xf>
    <xf numFmtId="49" fontId="76" fillId="6" borderId="109" xfId="0" applyNumberFormat="1" applyFont="1" applyFill="1" applyBorder="1" applyAlignment="1">
      <alignment horizontal="center" vertical="center"/>
    </xf>
    <xf numFmtId="49" fontId="76" fillId="6" borderId="79" xfId="0" applyNumberFormat="1" applyFont="1" applyFill="1" applyBorder="1" applyAlignment="1">
      <alignment horizontal="center" vertical="center"/>
    </xf>
    <xf numFmtId="0" fontId="44" fillId="13" borderId="14" xfId="0" applyFont="1" applyFill="1" applyBorder="1" applyAlignment="1">
      <alignment horizontal="left" vertical="center"/>
    </xf>
    <xf numFmtId="0" fontId="44" fillId="13" borderId="63" xfId="0" applyFont="1" applyFill="1" applyBorder="1" applyAlignment="1">
      <alignment horizontal="left" vertical="center"/>
    </xf>
    <xf numFmtId="0" fontId="92" fillId="6" borderId="1" xfId="0" applyFont="1" applyFill="1" applyBorder="1" applyAlignment="1">
      <alignment horizontal="center" vertical="center"/>
    </xf>
    <xf numFmtId="0" fontId="44" fillId="21" borderId="52" xfId="0" applyFont="1" applyFill="1" applyBorder="1" applyAlignment="1">
      <alignment horizontal="left" vertical="center"/>
    </xf>
    <xf numFmtId="0" fontId="44" fillId="21" borderId="53" xfId="0" applyFont="1" applyFill="1" applyBorder="1" applyAlignment="1">
      <alignment horizontal="left" vertical="center"/>
    </xf>
    <xf numFmtId="0" fontId="0" fillId="0" borderId="63" xfId="0" applyBorder="1" applyAlignment="1">
      <alignment horizontal="left"/>
    </xf>
    <xf numFmtId="0" fontId="46" fillId="10" borderId="1" xfId="0" applyFont="1" applyFill="1" applyBorder="1" applyAlignment="1">
      <alignment horizontal="center" vertical="center" wrapText="1"/>
    </xf>
    <xf numFmtId="0" fontId="46" fillId="13" borderId="14" xfId="0" applyFont="1" applyFill="1" applyBorder="1" applyAlignment="1">
      <alignment horizontal="left" vertical="center"/>
    </xf>
    <xf numFmtId="0" fontId="46" fillId="13" borderId="63" xfId="0" applyFont="1" applyFill="1" applyBorder="1" applyAlignment="1">
      <alignment horizontal="left" vertical="center"/>
    </xf>
    <xf numFmtId="0" fontId="46" fillId="10" borderId="6" xfId="0" applyFont="1" applyFill="1" applyBorder="1" applyAlignment="1">
      <alignment horizontal="center" vertical="center" wrapText="1"/>
    </xf>
    <xf numFmtId="0" fontId="46" fillId="10" borderId="103" xfId="0" applyFont="1" applyFill="1" applyBorder="1" applyAlignment="1">
      <alignment horizontal="center" vertical="center" wrapText="1"/>
    </xf>
    <xf numFmtId="0" fontId="46" fillId="10" borderId="52" xfId="0" applyFont="1" applyFill="1" applyBorder="1" applyAlignment="1">
      <alignment horizontal="center" vertical="center" wrapText="1"/>
    </xf>
    <xf numFmtId="0" fontId="46" fillId="10" borderId="53" xfId="0" applyFont="1" applyFill="1" applyBorder="1" applyAlignment="1">
      <alignment horizontal="center" vertical="center" wrapText="1"/>
    </xf>
    <xf numFmtId="0" fontId="46" fillId="11" borderId="62" xfId="0" applyFont="1" applyFill="1" applyBorder="1" applyAlignment="1">
      <alignment horizontal="left" vertical="center" wrapText="1"/>
    </xf>
    <xf numFmtId="0" fontId="105" fillId="0" borderId="109" xfId="0" applyFont="1" applyBorder="1"/>
    <xf numFmtId="0" fontId="105" fillId="0" borderId="79" xfId="0" applyFont="1" applyBorder="1"/>
    <xf numFmtId="0" fontId="105" fillId="6" borderId="14" xfId="0" applyFont="1" applyFill="1" applyBorder="1" applyAlignment="1">
      <alignment horizontal="left" vertical="center" wrapText="1"/>
    </xf>
    <xf numFmtId="0" fontId="105" fillId="6" borderId="63" xfId="0" applyFont="1" applyFill="1" applyBorder="1" applyAlignment="1">
      <alignment horizontal="left" vertical="center" wrapText="1"/>
    </xf>
    <xf numFmtId="0" fontId="91" fillId="7" borderId="14" xfId="0" applyFont="1" applyFill="1" applyBorder="1" applyAlignment="1">
      <alignment horizontal="left" vertical="center" wrapText="1"/>
    </xf>
    <xf numFmtId="0" fontId="91" fillId="7" borderId="63" xfId="0" applyFont="1" applyFill="1" applyBorder="1" applyAlignment="1">
      <alignment horizontal="left" vertical="center" wrapText="1"/>
    </xf>
    <xf numFmtId="0" fontId="105" fillId="7" borderId="14" xfId="0" applyFont="1" applyFill="1" applyBorder="1" applyAlignment="1">
      <alignment horizontal="left" vertical="center" wrapText="1"/>
    </xf>
    <xf numFmtId="0" fontId="105" fillId="7" borderId="63" xfId="0" applyFont="1" applyFill="1" applyBorder="1" applyAlignment="1">
      <alignment horizontal="left" vertical="center" wrapText="1"/>
    </xf>
    <xf numFmtId="0" fontId="91" fillId="0" borderId="63" xfId="0" applyFont="1" applyBorder="1" applyAlignment="1">
      <alignment horizontal="left"/>
    </xf>
    <xf numFmtId="0" fontId="46" fillId="21" borderId="14" xfId="0" applyFont="1" applyFill="1" applyBorder="1" applyAlignment="1">
      <alignment horizontal="left" vertical="center"/>
    </xf>
    <xf numFmtId="0" fontId="46" fillId="21" borderId="63" xfId="0" applyFont="1" applyFill="1" applyBorder="1" applyAlignment="1">
      <alignment horizontal="left" vertical="center"/>
    </xf>
    <xf numFmtId="49" fontId="91" fillId="6" borderId="1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91" fillId="6" borderId="6" xfId="0" applyFont="1" applyFill="1" applyBorder="1" applyAlignment="1">
      <alignment horizontal="left" vertical="center" wrapText="1"/>
    </xf>
    <xf numFmtId="0" fontId="91" fillId="6" borderId="103" xfId="0" applyFont="1" applyFill="1" applyBorder="1" applyAlignment="1">
      <alignment horizontal="left" vertical="center" wrapText="1"/>
    </xf>
    <xf numFmtId="0" fontId="91" fillId="6" borderId="0" xfId="0" applyFont="1" applyFill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91" fillId="0" borderId="54" xfId="0" applyFont="1" applyBorder="1" applyAlignment="1">
      <alignment horizontal="left" vertical="center" wrapText="1"/>
    </xf>
    <xf numFmtId="0" fontId="91" fillId="0" borderId="54" xfId="0" applyFont="1" applyBorder="1" applyAlignment="1">
      <alignment horizontal="left" vertical="center"/>
    </xf>
    <xf numFmtId="0" fontId="44" fillId="21" borderId="14" xfId="0" applyFont="1" applyFill="1" applyBorder="1" applyAlignment="1">
      <alignment horizontal="left" vertical="center"/>
    </xf>
    <xf numFmtId="0" fontId="44" fillId="21" borderId="63" xfId="0" applyFont="1" applyFill="1" applyBorder="1" applyAlignment="1">
      <alignment horizontal="left" vertical="center"/>
    </xf>
    <xf numFmtId="0" fontId="44" fillId="13" borderId="14" xfId="0" applyFont="1" applyFill="1" applyBorder="1" applyAlignment="1">
      <alignment horizontal="left" vertical="center" wrapText="1"/>
    </xf>
    <xf numFmtId="0" fontId="44" fillId="13" borderId="63" xfId="0" applyFont="1" applyFill="1" applyBorder="1" applyAlignment="1">
      <alignment horizontal="left" vertical="center" wrapText="1"/>
    </xf>
    <xf numFmtId="0" fontId="76" fillId="6" borderId="1" xfId="0" applyFont="1" applyFill="1" applyBorder="1" applyAlignment="1">
      <alignment horizontal="center" vertical="center"/>
    </xf>
    <xf numFmtId="49" fontId="76" fillId="6" borderId="1" xfId="0" applyNumberFormat="1" applyFont="1" applyFill="1" applyBorder="1" applyAlignment="1">
      <alignment horizontal="center" vertical="center"/>
    </xf>
    <xf numFmtId="0" fontId="76" fillId="6" borderId="54" xfId="0" applyFont="1" applyFill="1" applyBorder="1" applyAlignment="1">
      <alignment horizontal="left" vertical="center" wrapText="1"/>
    </xf>
    <xf numFmtId="0" fontId="93" fillId="0" borderId="109" xfId="0" applyFont="1" applyBorder="1"/>
    <xf numFmtId="0" fontId="93" fillId="0" borderId="79" xfId="0" applyFont="1" applyBorder="1"/>
    <xf numFmtId="0" fontId="46" fillId="13" borderId="14" xfId="0" applyFont="1" applyFill="1" applyBorder="1" applyAlignment="1">
      <alignment horizontal="left" vertical="center" wrapText="1"/>
    </xf>
    <xf numFmtId="0" fontId="46" fillId="13" borderId="63" xfId="0" applyFont="1" applyFill="1" applyBorder="1" applyAlignment="1">
      <alignment horizontal="left" vertical="center" wrapText="1"/>
    </xf>
    <xf numFmtId="0" fontId="91" fillId="6" borderId="1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44" fillId="10" borderId="63" xfId="0" applyFont="1" applyFill="1" applyBorder="1" applyAlignment="1">
      <alignment horizontal="center" vertical="center" wrapText="1"/>
    </xf>
    <xf numFmtId="0" fontId="76" fillId="6" borderId="83" xfId="0" applyFont="1" applyFill="1" applyBorder="1" applyAlignment="1">
      <alignment horizontal="left" vertical="center" wrapText="1"/>
    </xf>
    <xf numFmtId="0" fontId="76" fillId="6" borderId="84" xfId="0" applyFont="1" applyFill="1" applyBorder="1" applyAlignment="1">
      <alignment horizontal="left" vertical="center" wrapText="1"/>
    </xf>
    <xf numFmtId="0" fontId="76" fillId="6" borderId="113" xfId="0" applyFont="1" applyFill="1" applyBorder="1" applyAlignment="1">
      <alignment horizontal="left" vertical="center" wrapText="1"/>
    </xf>
    <xf numFmtId="0" fontId="76" fillId="6" borderId="114" xfId="0" applyFont="1" applyFill="1" applyBorder="1" applyAlignment="1">
      <alignment horizontal="left" vertical="center" wrapText="1"/>
    </xf>
    <xf numFmtId="0" fontId="76" fillId="6" borderId="119" xfId="0" applyFont="1" applyFill="1" applyBorder="1" applyAlignment="1">
      <alignment horizontal="left" vertical="center" wrapText="1"/>
    </xf>
    <xf numFmtId="0" fontId="76" fillId="6" borderId="120" xfId="0" applyFont="1" applyFill="1" applyBorder="1" applyAlignment="1">
      <alignment horizontal="left" vertical="center" wrapText="1"/>
    </xf>
    <xf numFmtId="0" fontId="76" fillId="6" borderId="52" xfId="0" applyFont="1" applyFill="1" applyBorder="1" applyAlignment="1">
      <alignment horizontal="left" vertical="center" wrapText="1"/>
    </xf>
    <xf numFmtId="0" fontId="76" fillId="6" borderId="53" xfId="0" applyFont="1" applyFill="1" applyBorder="1" applyAlignment="1">
      <alignment horizontal="left" vertical="center" wrapText="1"/>
    </xf>
    <xf numFmtId="0" fontId="41" fillId="6" borderId="122" xfId="0" applyFont="1" applyFill="1" applyBorder="1" applyAlignment="1">
      <alignment horizontal="left" vertical="center" wrapText="1"/>
    </xf>
    <xf numFmtId="0" fontId="41" fillId="6" borderId="79" xfId="0" applyFont="1" applyFill="1" applyBorder="1" applyAlignment="1">
      <alignment horizontal="left" vertical="center" wrapText="1"/>
    </xf>
    <xf numFmtId="0" fontId="76" fillId="6" borderId="6" xfId="0" applyFont="1" applyFill="1" applyBorder="1" applyAlignment="1">
      <alignment horizontal="left" vertical="center" wrapText="1"/>
    </xf>
    <xf numFmtId="0" fontId="76" fillId="6" borderId="103" xfId="0" applyFont="1" applyFill="1" applyBorder="1" applyAlignment="1">
      <alignment horizontal="left" vertical="center" wrapText="1"/>
    </xf>
    <xf numFmtId="0" fontId="76" fillId="6" borderId="3" xfId="0" applyFont="1" applyFill="1" applyBorder="1" applyAlignment="1">
      <alignment horizontal="left" vertical="center" wrapText="1"/>
    </xf>
    <xf numFmtId="0" fontId="76" fillId="6" borderId="27" xfId="0" applyFont="1" applyFill="1" applyBorder="1" applyAlignment="1">
      <alignment horizontal="left" vertical="center" wrapText="1"/>
    </xf>
    <xf numFmtId="0" fontId="41" fillId="6" borderId="2" xfId="0" applyFont="1" applyFill="1" applyBorder="1" applyAlignment="1">
      <alignment horizontal="left" vertical="center" wrapText="1"/>
    </xf>
    <xf numFmtId="0" fontId="41" fillId="6" borderId="109" xfId="0" applyFont="1" applyFill="1" applyBorder="1" applyAlignment="1">
      <alignment horizontal="left" vertical="center"/>
    </xf>
    <xf numFmtId="0" fontId="41" fillId="6" borderId="79" xfId="0" applyFont="1" applyFill="1" applyBorder="1" applyAlignment="1">
      <alignment horizontal="left" vertical="center"/>
    </xf>
    <xf numFmtId="0" fontId="28" fillId="0" borderId="62" xfId="0" applyFont="1" applyBorder="1" applyAlignment="1">
      <alignment horizontal="left" vertical="center"/>
    </xf>
    <xf numFmtId="0" fontId="28" fillId="0" borderId="62" xfId="0" applyFont="1" applyBorder="1" applyAlignment="1">
      <alignment horizontal="center" vertical="center"/>
    </xf>
    <xf numFmtId="0" fontId="67" fillId="6" borderId="2" xfId="0" applyFont="1" applyFill="1" applyBorder="1" applyAlignment="1">
      <alignment horizontal="center" vertical="center" wrapText="1"/>
    </xf>
    <xf numFmtId="0" fontId="67" fillId="6" borderId="79" xfId="0" applyFont="1" applyFill="1" applyBorder="1" applyAlignment="1">
      <alignment horizontal="center" vertical="center" wrapText="1"/>
    </xf>
    <xf numFmtId="49" fontId="67" fillId="6" borderId="2" xfId="8" applyNumberFormat="1" applyFont="1" applyFill="1" applyBorder="1" applyAlignment="1">
      <alignment horizontal="center" vertical="center" wrapText="1"/>
    </xf>
    <xf numFmtId="49" fontId="67" fillId="6" borderId="79" xfId="8" applyNumberFormat="1" applyFont="1" applyFill="1" applyBorder="1" applyAlignment="1">
      <alignment horizontal="center" vertical="center" wrapText="1"/>
    </xf>
    <xf numFmtId="0" fontId="43" fillId="12" borderId="107" xfId="0" applyFont="1" applyFill="1" applyBorder="1" applyAlignment="1">
      <alignment horizontal="left" vertical="center" wrapText="1"/>
    </xf>
    <xf numFmtId="0" fontId="43" fillId="12" borderId="116" xfId="0" applyFont="1" applyFill="1" applyBorder="1" applyAlignment="1">
      <alignment horizontal="left" vertical="center" wrapText="1"/>
    </xf>
    <xf numFmtId="0" fontId="43" fillId="12" borderId="108" xfId="0" applyFont="1" applyFill="1" applyBorder="1" applyAlignment="1">
      <alignment horizontal="left" vertical="center" wrapText="1"/>
    </xf>
    <xf numFmtId="0" fontId="76" fillId="6" borderId="123" xfId="0" applyFont="1" applyFill="1" applyBorder="1" applyAlignment="1">
      <alignment horizontal="left" vertical="center" wrapText="1"/>
    </xf>
    <xf numFmtId="0" fontId="76" fillId="6" borderId="124" xfId="0" applyFont="1" applyFill="1" applyBorder="1" applyAlignment="1">
      <alignment horizontal="left" vertical="center" wrapText="1"/>
    </xf>
    <xf numFmtId="0" fontId="44" fillId="11" borderId="83" xfId="0" applyFont="1" applyFill="1" applyBorder="1" applyAlignment="1">
      <alignment horizontal="left" vertical="center"/>
    </xf>
    <xf numFmtId="0" fontId="44" fillId="11" borderId="84" xfId="0" applyFont="1" applyFill="1" applyBorder="1" applyAlignment="1">
      <alignment horizontal="left" vertical="center"/>
    </xf>
    <xf numFmtId="0" fontId="41" fillId="6" borderId="109" xfId="0" applyFont="1" applyFill="1" applyBorder="1" applyAlignment="1">
      <alignment horizontal="left" vertical="center" wrapText="1"/>
    </xf>
    <xf numFmtId="49" fontId="41" fillId="6" borderId="2" xfId="0" applyNumberFormat="1" applyFont="1" applyFill="1" applyBorder="1" applyAlignment="1">
      <alignment horizontal="center" vertical="center" wrapText="1"/>
    </xf>
    <xf numFmtId="49" fontId="41" fillId="6" borderId="109" xfId="0" applyNumberFormat="1" applyFont="1" applyFill="1" applyBorder="1" applyAlignment="1">
      <alignment horizontal="center" vertical="center" wrapText="1"/>
    </xf>
    <xf numFmtId="49" fontId="41" fillId="6" borderId="79" xfId="0" applyNumberFormat="1" applyFont="1" applyFill="1" applyBorder="1" applyAlignment="1">
      <alignment horizontal="center" vertical="center" wrapText="1"/>
    </xf>
    <xf numFmtId="49" fontId="67" fillId="6" borderId="2" xfId="0" applyNumberFormat="1" applyFont="1" applyFill="1" applyBorder="1" applyAlignment="1">
      <alignment horizontal="center" vertical="center"/>
    </xf>
    <xf numFmtId="49" fontId="67" fillId="6" borderId="109" xfId="0" applyNumberFormat="1" applyFont="1" applyFill="1" applyBorder="1" applyAlignment="1">
      <alignment horizontal="center" vertical="center"/>
    </xf>
    <xf numFmtId="49" fontId="67" fillId="6" borderId="79" xfId="0" applyNumberFormat="1" applyFont="1" applyFill="1" applyBorder="1" applyAlignment="1">
      <alignment horizontal="center" vertical="center"/>
    </xf>
    <xf numFmtId="0" fontId="67" fillId="6" borderId="109" xfId="0" applyFont="1" applyFill="1" applyBorder="1" applyAlignment="1">
      <alignment horizontal="center" vertical="center" wrapText="1"/>
    </xf>
    <xf numFmtId="0" fontId="44" fillId="10" borderId="69" xfId="0" applyFont="1" applyFill="1" applyBorder="1" applyAlignment="1">
      <alignment horizontal="center" vertical="center" wrapText="1"/>
    </xf>
    <xf numFmtId="0" fontId="44" fillId="10" borderId="126" xfId="0" applyFont="1" applyFill="1" applyBorder="1" applyAlignment="1">
      <alignment horizontal="center" vertical="center" wrapText="1"/>
    </xf>
    <xf numFmtId="0" fontId="44" fillId="10" borderId="71" xfId="0" applyFont="1" applyFill="1" applyBorder="1" applyAlignment="1">
      <alignment horizontal="center" vertical="center" wrapText="1"/>
    </xf>
    <xf numFmtId="0" fontId="44" fillId="10" borderId="125" xfId="0" applyFont="1" applyFill="1" applyBorder="1" applyAlignment="1">
      <alignment horizontal="center" vertical="center" wrapText="1"/>
    </xf>
    <xf numFmtId="0" fontId="76" fillId="2" borderId="85" xfId="0" applyFont="1" applyFill="1" applyBorder="1" applyAlignment="1">
      <alignment horizontal="justify" vertical="center"/>
    </xf>
    <xf numFmtId="0" fontId="76" fillId="2" borderId="86" xfId="0" applyFont="1" applyFill="1" applyBorder="1" applyAlignment="1">
      <alignment horizontal="justify" vertical="center"/>
    </xf>
    <xf numFmtId="0" fontId="76" fillId="2" borderId="87" xfId="0" applyFont="1" applyFill="1" applyBorder="1" applyAlignment="1">
      <alignment horizontal="justify" vertical="center"/>
    </xf>
    <xf numFmtId="0" fontId="44" fillId="11" borderId="7" xfId="0" applyFont="1" applyFill="1" applyBorder="1" applyAlignment="1">
      <alignment horizontal="justify" vertical="center" wrapText="1"/>
    </xf>
    <xf numFmtId="0" fontId="44" fillId="11" borderId="93" xfId="0" applyFont="1" applyFill="1" applyBorder="1" applyAlignment="1">
      <alignment horizontal="justify" vertical="center" wrapText="1"/>
    </xf>
    <xf numFmtId="0" fontId="44" fillId="11" borderId="94" xfId="0" applyFont="1" applyFill="1" applyBorder="1" applyAlignment="1">
      <alignment horizontal="justify" vertical="center" wrapText="1"/>
    </xf>
    <xf numFmtId="0" fontId="76" fillId="2" borderId="14" xfId="0" applyFont="1" applyFill="1" applyBorder="1" applyAlignment="1">
      <alignment horizontal="justify" vertical="center"/>
    </xf>
    <xf numFmtId="0" fontId="76" fillId="2" borderId="62" xfId="0" applyFont="1" applyFill="1" applyBorder="1" applyAlignment="1">
      <alignment horizontal="justify" vertical="center"/>
    </xf>
    <xf numFmtId="0" fontId="76" fillId="2" borderId="63" xfId="0" applyFont="1" applyFill="1" applyBorder="1" applyAlignment="1">
      <alignment horizontal="justify" vertical="center"/>
    </xf>
    <xf numFmtId="0" fontId="76" fillId="2" borderId="85" xfId="0" applyFont="1" applyFill="1" applyBorder="1" applyAlignment="1">
      <alignment horizontal="left" vertical="center"/>
    </xf>
    <xf numFmtId="0" fontId="76" fillId="2" borderId="86" xfId="0" applyFont="1" applyFill="1" applyBorder="1" applyAlignment="1">
      <alignment horizontal="left" vertical="center"/>
    </xf>
    <xf numFmtId="0" fontId="76" fillId="2" borderId="87" xfId="0" applyFont="1" applyFill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42" fillId="2" borderId="104" xfId="0" applyFont="1" applyFill="1" applyBorder="1" applyAlignment="1">
      <alignment horizontal="left" vertical="center"/>
    </xf>
    <xf numFmtId="0" fontId="42" fillId="2" borderId="105" xfId="0" applyFont="1" applyFill="1" applyBorder="1" applyAlignment="1">
      <alignment horizontal="left" vertical="center"/>
    </xf>
    <xf numFmtId="0" fontId="42" fillId="2" borderId="106" xfId="0" applyFont="1" applyFill="1" applyBorder="1" applyAlignment="1">
      <alignment horizontal="left" vertical="center"/>
    </xf>
    <xf numFmtId="0" fontId="42" fillId="6" borderId="88" xfId="0" applyFont="1" applyFill="1" applyBorder="1" applyAlignment="1">
      <alignment horizontal="center" vertical="center" wrapText="1"/>
    </xf>
    <xf numFmtId="0" fontId="42" fillId="6" borderId="54" xfId="0" applyFont="1" applyFill="1" applyBorder="1" applyAlignment="1">
      <alignment horizontal="center" vertical="center" wrapText="1"/>
    </xf>
    <xf numFmtId="0" fontId="42" fillId="6" borderId="89" xfId="0" applyFont="1" applyFill="1" applyBorder="1" applyAlignment="1">
      <alignment horizontal="center" vertical="center" wrapText="1"/>
    </xf>
    <xf numFmtId="0" fontId="42" fillId="6" borderId="50" xfId="0" applyFont="1" applyFill="1" applyBorder="1" applyAlignment="1">
      <alignment horizontal="center" vertical="center" wrapText="1"/>
    </xf>
    <xf numFmtId="0" fontId="42" fillId="6" borderId="4" xfId="0" applyFont="1" applyFill="1" applyBorder="1" applyAlignment="1">
      <alignment horizontal="center" vertical="center" wrapText="1"/>
    </xf>
    <xf numFmtId="0" fontId="42" fillId="6" borderId="67" xfId="0" applyFont="1" applyFill="1" applyBorder="1" applyAlignment="1">
      <alignment horizontal="center" vertical="center" wrapText="1"/>
    </xf>
    <xf numFmtId="0" fontId="42" fillId="2" borderId="99" xfId="0" applyFont="1" applyFill="1" applyBorder="1" applyAlignment="1">
      <alignment horizontal="center" vertical="center" wrapText="1"/>
    </xf>
    <xf numFmtId="0" fontId="42" fillId="2" borderId="62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/>
    </xf>
    <xf numFmtId="0" fontId="14" fillId="12" borderId="63" xfId="0" applyFont="1" applyFill="1" applyBorder="1" applyAlignment="1">
      <alignment horizontal="center" vertical="center"/>
    </xf>
    <xf numFmtId="0" fontId="39" fillId="6" borderId="83" xfId="0" applyFont="1" applyFill="1" applyBorder="1" applyAlignment="1">
      <alignment horizontal="left" vertical="center"/>
    </xf>
    <xf numFmtId="0" fontId="39" fillId="6" borderId="84" xfId="0" applyFont="1" applyFill="1" applyBorder="1" applyAlignment="1">
      <alignment horizontal="left" vertical="center"/>
    </xf>
    <xf numFmtId="0" fontId="39" fillId="6" borderId="83" xfId="0" applyFont="1" applyFill="1" applyBorder="1" applyAlignment="1">
      <alignment horizontal="center" vertical="center"/>
    </xf>
    <xf numFmtId="0" fontId="39" fillId="6" borderId="84" xfId="0" applyFont="1" applyFill="1" applyBorder="1" applyAlignment="1">
      <alignment horizontal="center" vertical="center"/>
    </xf>
    <xf numFmtId="0" fontId="39" fillId="6" borderId="83" xfId="0" applyFont="1" applyFill="1" applyBorder="1" applyAlignment="1">
      <alignment horizontal="left" vertical="center" wrapText="1"/>
    </xf>
    <xf numFmtId="0" fontId="39" fillId="6" borderId="84" xfId="0" applyFont="1" applyFill="1" applyBorder="1" applyAlignment="1">
      <alignment horizontal="left" vertical="center" wrapText="1"/>
    </xf>
    <xf numFmtId="49" fontId="39" fillId="6" borderId="83" xfId="0" applyNumberFormat="1" applyFont="1" applyFill="1" applyBorder="1" applyAlignment="1">
      <alignment horizontal="center" vertical="center"/>
    </xf>
    <xf numFmtId="49" fontId="39" fillId="6" borderId="84" xfId="0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10" borderId="14" xfId="0" applyFont="1" applyFill="1" applyBorder="1" applyAlignment="1">
      <alignment horizontal="center" vertical="center" wrapText="1"/>
    </xf>
    <xf numFmtId="0" fontId="40" fillId="10" borderId="63" xfId="0" applyFont="1" applyFill="1" applyBorder="1" applyAlignment="1">
      <alignment horizontal="center" vertical="center" wrapText="1"/>
    </xf>
    <xf numFmtId="0" fontId="40" fillId="11" borderId="83" xfId="0" applyFont="1" applyFill="1" applyBorder="1" applyAlignment="1">
      <alignment horizontal="left" vertical="center"/>
    </xf>
    <xf numFmtId="0" fontId="40" fillId="11" borderId="84" xfId="0" applyFont="1" applyFill="1" applyBorder="1" applyAlignment="1">
      <alignment horizontal="left" vertical="center"/>
    </xf>
    <xf numFmtId="0" fontId="40" fillId="11" borderId="14" xfId="0" applyFont="1" applyFill="1" applyBorder="1" applyAlignment="1">
      <alignment horizontal="center" vertical="center" wrapText="1"/>
    </xf>
    <xf numFmtId="0" fontId="40" fillId="11" borderId="63" xfId="0" applyFont="1" applyFill="1" applyBorder="1" applyAlignment="1">
      <alignment horizontal="center" vertical="center" wrapText="1"/>
    </xf>
    <xf numFmtId="0" fontId="39" fillId="6" borderId="2" xfId="0" applyFont="1" applyFill="1" applyBorder="1" applyAlignment="1">
      <alignment horizontal="left" vertical="center" wrapText="1"/>
    </xf>
    <xf numFmtId="0" fontId="39" fillId="6" borderId="79" xfId="0" applyFont="1" applyFill="1" applyBorder="1" applyAlignment="1">
      <alignment horizontal="left" vertical="center" wrapText="1"/>
    </xf>
    <xf numFmtId="166" fontId="39" fillId="6" borderId="2" xfId="8" applyNumberFormat="1" applyFont="1" applyFill="1" applyBorder="1" applyAlignment="1">
      <alignment horizontal="center" vertical="center" wrapText="1"/>
    </xf>
    <xf numFmtId="166" fontId="39" fillId="6" borderId="79" xfId="8" applyNumberFormat="1" applyFont="1" applyFill="1" applyBorder="1" applyAlignment="1">
      <alignment horizontal="center" vertical="center" wrapText="1"/>
    </xf>
    <xf numFmtId="0" fontId="45" fillId="12" borderId="107" xfId="0" applyFont="1" applyFill="1" applyBorder="1" applyAlignment="1">
      <alignment horizontal="left" vertical="center" wrapText="1"/>
    </xf>
    <xf numFmtId="0" fontId="45" fillId="12" borderId="108" xfId="0" applyFont="1" applyFill="1" applyBorder="1" applyAlignment="1">
      <alignment horizontal="left" vertical="center" wrapText="1"/>
    </xf>
    <xf numFmtId="0" fontId="45" fillId="12" borderId="107" xfId="0" applyFont="1" applyFill="1" applyBorder="1" applyAlignment="1">
      <alignment horizontal="left" vertical="center"/>
    </xf>
    <xf numFmtId="0" fontId="45" fillId="12" borderId="108" xfId="0" applyFont="1" applyFill="1" applyBorder="1" applyAlignment="1">
      <alignment horizontal="left" vertical="center"/>
    </xf>
    <xf numFmtId="166" fontId="8" fillId="0" borderId="1" xfId="8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42" fillId="2" borderId="80" xfId="0" applyFont="1" applyFill="1" applyBorder="1" applyAlignment="1">
      <alignment horizontal="left" vertical="center"/>
    </xf>
    <xf numFmtId="0" fontId="42" fillId="2" borderId="81" xfId="0" applyFont="1" applyFill="1" applyBorder="1" applyAlignment="1">
      <alignment horizontal="left" vertical="center"/>
    </xf>
    <xf numFmtId="0" fontId="42" fillId="2" borderId="82" xfId="0" applyFont="1" applyFill="1" applyBorder="1" applyAlignment="1">
      <alignment horizontal="left" vertical="center"/>
    </xf>
    <xf numFmtId="0" fontId="42" fillId="0" borderId="80" xfId="0" applyFont="1" applyBorder="1" applyAlignment="1">
      <alignment horizontal="center" vertical="center" wrapText="1"/>
    </xf>
    <xf numFmtId="0" fontId="42" fillId="0" borderId="81" xfId="0" applyFont="1" applyBorder="1" applyAlignment="1">
      <alignment horizontal="center" vertical="center" wrapText="1"/>
    </xf>
    <xf numFmtId="0" fontId="42" fillId="0" borderId="82" xfId="0" applyFont="1" applyBorder="1" applyAlignment="1">
      <alignment horizontal="center" vertical="center" wrapText="1"/>
    </xf>
    <xf numFmtId="0" fontId="42" fillId="0" borderId="95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9" fillId="6" borderId="2" xfId="0" applyFont="1" applyFill="1" applyBorder="1" applyAlignment="1">
      <alignment horizontal="center" vertical="center" wrapText="1"/>
    </xf>
    <xf numFmtId="0" fontId="39" fillId="6" borderId="109" xfId="0" applyFont="1" applyFill="1" applyBorder="1" applyAlignment="1">
      <alignment horizontal="center" vertical="center" wrapText="1"/>
    </xf>
    <xf numFmtId="0" fontId="39" fillId="6" borderId="79" xfId="0" applyFont="1" applyFill="1" applyBorder="1" applyAlignment="1">
      <alignment horizontal="center" vertical="center" wrapText="1"/>
    </xf>
    <xf numFmtId="0" fontId="41" fillId="2" borderId="85" xfId="0" applyFont="1" applyFill="1" applyBorder="1" applyAlignment="1">
      <alignment horizontal="justify" vertical="center"/>
    </xf>
    <xf numFmtId="0" fontId="41" fillId="2" borderId="86" xfId="0" applyFont="1" applyFill="1" applyBorder="1" applyAlignment="1">
      <alignment horizontal="justify" vertical="center"/>
    </xf>
    <xf numFmtId="0" fontId="41" fillId="2" borderId="87" xfId="0" applyFont="1" applyFill="1" applyBorder="1" applyAlignment="1">
      <alignment horizontal="justify" vertical="center"/>
    </xf>
    <xf numFmtId="0" fontId="40" fillId="11" borderId="7" xfId="0" applyFont="1" applyFill="1" applyBorder="1" applyAlignment="1">
      <alignment horizontal="justify" vertical="center" wrapText="1"/>
    </xf>
    <xf numFmtId="0" fontId="40" fillId="11" borderId="93" xfId="0" applyFont="1" applyFill="1" applyBorder="1" applyAlignment="1">
      <alignment horizontal="justify" vertical="center" wrapText="1"/>
    </xf>
    <xf numFmtId="0" fontId="40" fillId="11" borderId="94" xfId="0" applyFont="1" applyFill="1" applyBorder="1" applyAlignment="1">
      <alignment horizontal="justify" vertical="center" wrapText="1"/>
    </xf>
    <xf numFmtId="0" fontId="9" fillId="2" borderId="0" xfId="0" applyFont="1" applyFill="1" applyBorder="1" applyAlignment="1">
      <alignment horizontal="left" vertical="center"/>
    </xf>
    <xf numFmtId="0" fontId="36" fillId="10" borderId="14" xfId="0" applyFont="1" applyFill="1" applyBorder="1" applyAlignment="1">
      <alignment horizontal="center" vertical="center" wrapText="1"/>
    </xf>
    <xf numFmtId="0" fontId="36" fillId="10" borderId="62" xfId="0" applyFont="1" applyFill="1" applyBorder="1" applyAlignment="1">
      <alignment horizontal="center" vertical="center" wrapText="1"/>
    </xf>
    <xf numFmtId="0" fontId="36" fillId="10" borderId="63" xfId="0" applyFont="1" applyFill="1" applyBorder="1" applyAlignment="1">
      <alignment horizontal="center" vertical="center" wrapText="1"/>
    </xf>
    <xf numFmtId="0" fontId="28" fillId="0" borderId="80" xfId="8" applyNumberFormat="1" applyFont="1" applyBorder="1" applyAlignment="1">
      <alignment horizontal="center" vertical="center"/>
    </xf>
    <xf numFmtId="0" fontId="28" fillId="0" borderId="81" xfId="8" applyNumberFormat="1" applyFont="1" applyBorder="1" applyAlignment="1">
      <alignment horizontal="center" vertical="center"/>
    </xf>
    <xf numFmtId="0" fontId="28" fillId="0" borderId="82" xfId="8" applyNumberFormat="1" applyFont="1" applyBorder="1" applyAlignment="1">
      <alignment horizontal="center" vertical="center"/>
    </xf>
    <xf numFmtId="0" fontId="28" fillId="0" borderId="100" xfId="8" applyNumberFormat="1" applyFont="1" applyBorder="1" applyAlignment="1">
      <alignment horizontal="center" vertical="center"/>
    </xf>
    <xf numFmtId="0" fontId="28" fillId="0" borderId="101" xfId="8" applyNumberFormat="1" applyFont="1" applyBorder="1" applyAlignment="1">
      <alignment horizontal="center" vertical="center"/>
    </xf>
    <xf numFmtId="0" fontId="28" fillId="0" borderId="102" xfId="8" applyNumberFormat="1" applyFont="1" applyBorder="1" applyAlignment="1">
      <alignment horizontal="center" vertical="center"/>
    </xf>
    <xf numFmtId="0" fontId="24" fillId="6" borderId="96" xfId="0" applyFont="1" applyFill="1" applyBorder="1" applyAlignment="1">
      <alignment horizontal="justify" vertical="center"/>
    </xf>
    <xf numFmtId="0" fontId="24" fillId="6" borderId="97" xfId="0" applyFont="1" applyFill="1" applyBorder="1" applyAlignment="1">
      <alignment horizontal="justify" vertical="center"/>
    </xf>
    <xf numFmtId="0" fontId="24" fillId="6" borderId="98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left" vertical="center"/>
    </xf>
    <xf numFmtId="0" fontId="15" fillId="6" borderId="96" xfId="0" applyFont="1" applyFill="1" applyBorder="1" applyAlignment="1">
      <alignment horizontal="justify" vertical="center"/>
    </xf>
    <xf numFmtId="0" fontId="15" fillId="6" borderId="97" xfId="0" applyFont="1" applyFill="1" applyBorder="1" applyAlignment="1">
      <alignment horizontal="justify" vertical="center"/>
    </xf>
    <xf numFmtId="0" fontId="15" fillId="6" borderId="98" xfId="0" applyFont="1" applyFill="1" applyBorder="1" applyAlignment="1">
      <alignment horizontal="justify" vertical="center"/>
    </xf>
    <xf numFmtId="0" fontId="36" fillId="10" borderId="9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2" fillId="2" borderId="47" xfId="0" applyFont="1" applyFill="1" applyBorder="1" applyAlignment="1">
      <alignment horizontal="center" vertical="center" wrapText="1"/>
    </xf>
    <xf numFmtId="0" fontId="42" fillId="2" borderId="91" xfId="0" applyFont="1" applyFill="1" applyBorder="1" applyAlignment="1">
      <alignment horizontal="center" vertical="center" wrapText="1"/>
    </xf>
    <xf numFmtId="0" fontId="42" fillId="2" borderId="92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justify" vertical="center" wrapText="1"/>
    </xf>
    <xf numFmtId="0" fontId="16" fillId="0" borderId="5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2" borderId="0" xfId="0" applyFont="1" applyFill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/>
    </xf>
    <xf numFmtId="0" fontId="16" fillId="0" borderId="5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66" fillId="2" borderId="0" xfId="0" applyFont="1" applyFill="1" applyBorder="1" applyAlignment="1">
      <alignment horizontal="justify" vertical="center" wrapText="1"/>
    </xf>
    <xf numFmtId="0" fontId="13" fillId="0" borderId="54" xfId="0" applyFont="1" applyBorder="1" applyAlignment="1">
      <alignment horizontal="left" vertical="center" wrapText="1"/>
    </xf>
    <xf numFmtId="0" fontId="36" fillId="10" borderId="6" xfId="0" applyFont="1" applyFill="1" applyBorder="1" applyAlignment="1">
      <alignment horizontal="center" vertical="center" wrapText="1"/>
    </xf>
    <xf numFmtId="0" fontId="36" fillId="10" borderId="54" xfId="0" applyFont="1" applyFill="1" applyBorder="1" applyAlignment="1">
      <alignment horizontal="center" vertical="center" wrapText="1"/>
    </xf>
    <xf numFmtId="0" fontId="36" fillId="10" borderId="10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109" xfId="0" applyFont="1" applyFill="1" applyBorder="1" applyAlignment="1">
      <alignment horizontal="center" vertical="center" wrapText="1"/>
    </xf>
    <xf numFmtId="0" fontId="14" fillId="5" borderId="7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7" borderId="110" xfId="0" applyFont="1" applyFill="1" applyBorder="1" applyAlignment="1">
      <alignment horizontal="center" vertical="center"/>
    </xf>
    <xf numFmtId="0" fontId="9" fillId="7" borderId="111" xfId="0" applyFont="1" applyFill="1" applyBorder="1" applyAlignment="1">
      <alignment horizontal="center" vertical="center"/>
    </xf>
    <xf numFmtId="0" fontId="9" fillId="7" borderId="112" xfId="0" applyFont="1" applyFill="1" applyBorder="1" applyAlignment="1">
      <alignment horizontal="center" vertical="center"/>
    </xf>
    <xf numFmtId="3" fontId="15" fillId="8" borderId="14" xfId="0" applyNumberFormat="1" applyFont="1" applyFill="1" applyBorder="1" applyAlignment="1">
      <alignment horizontal="right" vertical="center" wrapText="1"/>
    </xf>
    <xf numFmtId="3" fontId="15" fillId="8" borderId="62" xfId="0" applyNumberFormat="1" applyFont="1" applyFill="1" applyBorder="1" applyAlignment="1">
      <alignment horizontal="right" vertical="center" wrapText="1"/>
    </xf>
    <xf numFmtId="3" fontId="15" fillId="8" borderId="63" xfId="0" applyNumberFormat="1" applyFont="1" applyFill="1" applyBorder="1" applyAlignment="1">
      <alignment horizontal="right" vertical="center" wrapText="1"/>
    </xf>
    <xf numFmtId="3" fontId="17" fillId="3" borderId="113" xfId="0" applyNumberFormat="1" applyFont="1" applyFill="1" applyBorder="1" applyAlignment="1">
      <alignment horizontal="center" vertical="center" wrapText="1"/>
    </xf>
    <xf numFmtId="3" fontId="17" fillId="3" borderId="114" xfId="0" applyNumberFormat="1" applyFont="1" applyFill="1" applyBorder="1" applyAlignment="1">
      <alignment horizontal="center" vertical="center" wrapText="1"/>
    </xf>
    <xf numFmtId="0" fontId="17" fillId="3" borderId="113" xfId="0" applyFont="1" applyFill="1" applyBorder="1" applyAlignment="1">
      <alignment horizontal="left" vertical="center" wrapText="1"/>
    </xf>
    <xf numFmtId="0" fontId="17" fillId="3" borderId="115" xfId="0" applyFont="1" applyFill="1" applyBorder="1" applyAlignment="1">
      <alignment horizontal="left" vertical="center" wrapText="1"/>
    </xf>
    <xf numFmtId="0" fontId="24" fillId="6" borderId="107" xfId="0" applyFont="1" applyFill="1" applyBorder="1" applyAlignment="1">
      <alignment horizontal="left" vertical="center" wrapText="1"/>
    </xf>
    <xf numFmtId="0" fontId="24" fillId="2" borderId="116" xfId="0" applyFont="1" applyFill="1" applyBorder="1" applyAlignment="1">
      <alignment horizontal="left" vertical="center" wrapText="1"/>
    </xf>
    <xf numFmtId="0" fontId="24" fillId="6" borderId="107" xfId="0" applyFont="1" applyFill="1" applyBorder="1" applyAlignment="1">
      <alignment horizontal="center" vertical="center" wrapText="1"/>
    </xf>
    <xf numFmtId="0" fontId="24" fillId="6" borderId="108" xfId="0" applyFont="1" applyFill="1" applyBorder="1" applyAlignment="1">
      <alignment horizontal="center" vertical="center" wrapText="1"/>
    </xf>
    <xf numFmtId="0" fontId="24" fillId="6" borderId="113" xfId="0" applyFont="1" applyFill="1" applyBorder="1" applyAlignment="1">
      <alignment horizontal="left" vertical="center" wrapText="1"/>
    </xf>
    <xf numFmtId="0" fontId="24" fillId="2" borderId="115" xfId="0" applyFont="1" applyFill="1" applyBorder="1" applyAlignment="1">
      <alignment horizontal="left" vertical="center" wrapText="1"/>
    </xf>
    <xf numFmtId="0" fontId="24" fillId="6" borderId="113" xfId="0" applyFont="1" applyFill="1" applyBorder="1" applyAlignment="1">
      <alignment horizontal="center" vertical="center" wrapText="1"/>
    </xf>
    <xf numFmtId="0" fontId="24" fillId="6" borderId="114" xfId="0" applyFont="1" applyFill="1" applyBorder="1" applyAlignment="1">
      <alignment horizontal="center" vertical="center" wrapText="1"/>
    </xf>
  </cellXfs>
  <cellStyles count="241">
    <cellStyle name="Célula de Verificação 2" xfId="36"/>
    <cellStyle name="Célula de Verificação 2 2" xfId="38"/>
    <cellStyle name="Célula de Verificação 2 2 2" xfId="202"/>
    <cellStyle name="Célula de Verificação 2 2 2 2" xfId="208"/>
    <cellStyle name="Célula de Verificação 2 2 2 2 2" xfId="209"/>
    <cellStyle name="Célula de Verificação 2 2 2 3" xfId="221"/>
    <cellStyle name="Célula de Verificação 2 2 2 4" xfId="223"/>
    <cellStyle name="Célula de Verificação 2 2 2 5" xfId="225"/>
    <cellStyle name="Célula de Verificação 2 2 2 6" xfId="227"/>
    <cellStyle name="Célula de Verificação 2 2 2 7" xfId="228"/>
    <cellStyle name="Célula de Verificação 2 2 3" xfId="206"/>
    <cellStyle name="Célula de Verificação 2 2 3 2" xfId="220"/>
    <cellStyle name="Célula de Verificação 2 2 4" xfId="219"/>
    <cellStyle name="Célula de Verificação 2 2 5" xfId="222"/>
    <cellStyle name="Célula de Verificação 2 2 6" xfId="224"/>
    <cellStyle name="Célula de Verificação 2 2 7" xfId="226"/>
    <cellStyle name="Célula de Verificação 2 2 8" xfId="201"/>
    <cellStyle name="Célula de Verificação 2 3" xfId="168"/>
    <cellStyle name="Célula de Verificação 2 4" xfId="185"/>
    <cellStyle name="Célula de Verificação 2 4 2" xfId="211"/>
    <cellStyle name="Célula de Verificação 2 4 3" xfId="204"/>
    <cellStyle name="Célula de Verificação 2 5" xfId="216"/>
    <cellStyle name="Célula de Verificação 2 6" xfId="213"/>
    <cellStyle name="Célula de Verificação 2 7" xfId="215"/>
    <cellStyle name="Célula de Verificação 2 8" xfId="214"/>
    <cellStyle name="Célula de Verificação 3" xfId="34"/>
    <cellStyle name="Célula de Verificação 4" xfId="186"/>
    <cellStyle name="Célula de Verificação 5" xfId="218"/>
    <cellStyle name="Célula de Verificação 6" xfId="210"/>
    <cellStyle name="Célula de Verificação 7" xfId="217"/>
    <cellStyle name="Célula de Verificação 8" xfId="212"/>
    <cellStyle name="Célula de Verificação 9" xfId="200"/>
    <cellStyle name="Estilo 1" xfId="164"/>
    <cellStyle name="Estilo 2" xfId="165"/>
    <cellStyle name="Hyperlink 2" xfId="167"/>
    <cellStyle name="Hyperlink 2 2" xfId="187"/>
    <cellStyle name="Hyperlink 2 3" xfId="188"/>
    <cellStyle name="Normal" xfId="0" builtinId="0"/>
    <cellStyle name="Normal 13" xfId="35"/>
    <cellStyle name="Normal 13 2" xfId="192"/>
    <cellStyle name="Normal 2" xfId="1"/>
    <cellStyle name="Normal 2 10" xfId="205"/>
    <cellStyle name="Normal 2 2" xfId="2"/>
    <cellStyle name="Normal 2 2 2" xfId="12"/>
    <cellStyle name="Normal 2 2 2 2" xfId="39"/>
    <cellStyle name="Normal 2 2 2 3" xfId="169"/>
    <cellStyle name="Normal 2 2 2 4" xfId="184"/>
    <cellStyle name="Normal 2 2 2 5" xfId="231"/>
    <cellStyle name="Normal 2 2 3" xfId="40"/>
    <cellStyle name="Normal 2 2 4" xfId="41"/>
    <cellStyle name="Normal 2 2 5" xfId="42"/>
    <cellStyle name="Normal 2 2 6" xfId="43"/>
    <cellStyle name="Normal 2 2 7" xfId="11"/>
    <cellStyle name="Normal 2 3" xfId="3"/>
    <cellStyle name="Normal 2 3 10" xfId="45"/>
    <cellStyle name="Normal 2 3 11" xfId="46"/>
    <cellStyle name="Normal 2 3 12" xfId="47"/>
    <cellStyle name="Normal 2 3 13" xfId="48"/>
    <cellStyle name="Normal 2 3 14" xfId="49"/>
    <cellStyle name="Normal 2 3 15" xfId="50"/>
    <cellStyle name="Normal 2 3 16" xfId="51"/>
    <cellStyle name="Normal 2 3 17" xfId="52"/>
    <cellStyle name="Normal 2 3 18" xfId="53"/>
    <cellStyle name="Normal 2 3 19" xfId="54"/>
    <cellStyle name="Normal 2 3 2" xfId="55"/>
    <cellStyle name="Normal 2 3 20" xfId="56"/>
    <cellStyle name="Normal 2 3 21" xfId="57"/>
    <cellStyle name="Normal 2 3 22" xfId="58"/>
    <cellStyle name="Normal 2 3 23" xfId="59"/>
    <cellStyle name="Normal 2 3 24" xfId="60"/>
    <cellStyle name="Normal 2 3 25" xfId="61"/>
    <cellStyle name="Normal 2 3 26" xfId="62"/>
    <cellStyle name="Normal 2 3 27" xfId="63"/>
    <cellStyle name="Normal 2 3 28" xfId="64"/>
    <cellStyle name="Normal 2 3 29" xfId="65"/>
    <cellStyle name="Normal 2 3 3" xfId="66"/>
    <cellStyle name="Normal 2 3 30" xfId="67"/>
    <cellStyle name="Normal 2 3 31" xfId="68"/>
    <cellStyle name="Normal 2 3 32" xfId="69"/>
    <cellStyle name="Normal 2 3 33" xfId="70"/>
    <cellStyle name="Normal 2 3 34" xfId="71"/>
    <cellStyle name="Normal 2 3 35" xfId="72"/>
    <cellStyle name="Normal 2 3 36" xfId="73"/>
    <cellStyle name="Normal 2 3 37" xfId="74"/>
    <cellStyle name="Normal 2 3 38" xfId="75"/>
    <cellStyle name="Normal 2 3 39" xfId="76"/>
    <cellStyle name="Normal 2 3 4" xfId="77"/>
    <cellStyle name="Normal 2 3 40" xfId="78"/>
    <cellStyle name="Normal 2 3 41" xfId="79"/>
    <cellStyle name="Normal 2 3 42" xfId="80"/>
    <cellStyle name="Normal 2 3 43" xfId="81"/>
    <cellStyle name="Normal 2 3 44" xfId="82"/>
    <cellStyle name="Normal 2 3 45" xfId="83"/>
    <cellStyle name="Normal 2 3 46" xfId="84"/>
    <cellStyle name="Normal 2 3 47" xfId="85"/>
    <cellStyle name="Normal 2 3 48" xfId="86"/>
    <cellStyle name="Normal 2 3 49" xfId="44"/>
    <cellStyle name="Normal 2 3 5" xfId="87"/>
    <cellStyle name="Normal 2 3 6" xfId="88"/>
    <cellStyle name="Normal 2 3 7" xfId="89"/>
    <cellStyle name="Normal 2 3 8" xfId="90"/>
    <cellStyle name="Normal 2 3 9" xfId="91"/>
    <cellStyle name="Normal 2 4" xfId="92"/>
    <cellStyle name="Normal 2 5" xfId="93"/>
    <cellStyle name="Normal 2 6" xfId="94"/>
    <cellStyle name="Normal 2 7" xfId="95"/>
    <cellStyle name="Normal 2 8" xfId="96"/>
    <cellStyle name="Normal 2 9" xfId="37"/>
    <cellStyle name="Normal 3" xfId="4"/>
    <cellStyle name="Normal 3 2" xfId="97"/>
    <cellStyle name="Normal 3 2 2" xfId="193"/>
    <cellStyle name="Normal 3 3" xfId="98"/>
    <cellStyle name="Normal 3 3 2" xfId="194"/>
    <cellStyle name="Normal 3 4" xfId="99"/>
    <cellStyle name="Normal 3 4 2" xfId="195"/>
    <cellStyle name="Normal 3 5" xfId="100"/>
    <cellStyle name="Normal 3 5 2" xfId="196"/>
    <cellStyle name="Normal 3 6" xfId="101"/>
    <cellStyle name="Normal 3 6 2" xfId="197"/>
    <cellStyle name="Normal 3 7" xfId="177"/>
    <cellStyle name="Normal 3 7 2" xfId="199"/>
    <cellStyle name="Normal 3 8" xfId="176"/>
    <cellStyle name="Normal 3 8 2" xfId="198"/>
    <cellStyle name="Normal 3 9" xfId="13"/>
    <cellStyle name="Normal 4" xfId="14"/>
    <cellStyle name="Normal 4 2" xfId="166"/>
    <cellStyle name="Normal 4 2 2" xfId="203"/>
    <cellStyle name="Normal 4 3" xfId="207"/>
    <cellStyle name="Normal 5" xfId="15"/>
    <cellStyle name="Normal 6" xfId="16"/>
    <cellStyle name="Normal 7" xfId="10"/>
    <cellStyle name="Normal 7 2" xfId="230"/>
    <cellStyle name="Normal 8" xfId="229"/>
    <cellStyle name="Normal 9" xfId="191"/>
    <cellStyle name="Porcentagem" xfId="5" builtinId="5"/>
    <cellStyle name="Porcentagem 12" xfId="102"/>
    <cellStyle name="Porcentagem 2" xfId="6"/>
    <cellStyle name="Porcentagem 2 2" xfId="7"/>
    <cellStyle name="Porcentagem 2 2 2" xfId="104"/>
    <cellStyle name="Porcentagem 2 2 3" xfId="105"/>
    <cellStyle name="Porcentagem 2 2 4" xfId="106"/>
    <cellStyle name="Porcentagem 2 2 5" xfId="107"/>
    <cellStyle name="Porcentagem 2 2 6" xfId="108"/>
    <cellStyle name="Porcentagem 2 2 7" xfId="178"/>
    <cellStyle name="Porcentagem 2 2 8" xfId="175"/>
    <cellStyle name="Porcentagem 2 2 9" xfId="17"/>
    <cellStyle name="Porcentagem 2 3" xfId="18"/>
    <cellStyle name="Porcentagem 2 3 2" xfId="109"/>
    <cellStyle name="Porcentagem 2 3 3" xfId="179"/>
    <cellStyle name="Porcentagem 2 3 4" xfId="174"/>
    <cellStyle name="Porcentagem 2 3 5" xfId="232"/>
    <cellStyle name="Porcentagem 2 4" xfId="19"/>
    <cellStyle name="Porcentagem 2 4 2" xfId="110"/>
    <cellStyle name="Porcentagem 2 4 3" xfId="180"/>
    <cellStyle name="Porcentagem 2 4 4" xfId="173"/>
    <cellStyle name="Porcentagem 2 4 5" xfId="233"/>
    <cellStyle name="Porcentagem 2 5" xfId="20"/>
    <cellStyle name="Porcentagem 2 5 2" xfId="111"/>
    <cellStyle name="Porcentagem 2 5 3" xfId="181"/>
    <cellStyle name="Porcentagem 2 5 4" xfId="172"/>
    <cellStyle name="Porcentagem 2 5 5" xfId="234"/>
    <cellStyle name="Porcentagem 2 6" xfId="21"/>
    <cellStyle name="Porcentagem 2 6 2" xfId="112"/>
    <cellStyle name="Porcentagem 2 6 3" xfId="182"/>
    <cellStyle name="Porcentagem 2 6 4" xfId="171"/>
    <cellStyle name="Porcentagem 2 6 5" xfId="235"/>
    <cellStyle name="Porcentagem 2 7" xfId="22"/>
    <cellStyle name="Porcentagem 2 7 2" xfId="113"/>
    <cellStyle name="Porcentagem 2 7 3" xfId="183"/>
    <cellStyle name="Porcentagem 2 7 4" xfId="170"/>
    <cellStyle name="Porcentagem 2 7 5" xfId="236"/>
    <cellStyle name="Porcentagem 2 8" xfId="103"/>
    <cellStyle name="Porcentagem 3" xfId="23"/>
    <cellStyle name="Porcentagem 4" xfId="189"/>
    <cellStyle name="Porcentagem 4 2" xfId="239"/>
    <cellStyle name="Porcentagem 4 3" xfId="237"/>
    <cellStyle name="Separador de milhares" xfId="8" builtinId="3"/>
    <cellStyle name="Separador de milhares 11" xfId="114"/>
    <cellStyle name="Separador de milhares 17" xfId="115"/>
    <cellStyle name="Separador de milhares 2" xfId="190"/>
    <cellStyle name="Separador de milhares 2 10" xfId="238"/>
    <cellStyle name="Separador de milhares 2 2" xfId="24"/>
    <cellStyle name="Separador de milhares 2 3" xfId="25"/>
    <cellStyle name="Separador de milhares 2 4" xfId="26"/>
    <cellStyle name="Separador de milhares 2 5" xfId="27"/>
    <cellStyle name="Separador de milhares 2 6" xfId="28"/>
    <cellStyle name="Separador de milhares 2 7" xfId="29"/>
    <cellStyle name="Separador de milhares 2 8" xfId="30"/>
    <cellStyle name="Separador de milhares 2 9" xfId="240"/>
    <cellStyle name="Separador de milhares 3" xfId="31"/>
    <cellStyle name="Separador de milhares 4" xfId="32"/>
    <cellStyle name="Separador de milhares 5" xfId="33"/>
    <cellStyle name="Texto Explicativo 2" xfId="116"/>
    <cellStyle name="Título 1" xfId="9" builtinId="16" customBuiltin="1"/>
    <cellStyle name="Título 1 10" xfId="117"/>
    <cellStyle name="Título 1 11" xfId="118"/>
    <cellStyle name="Título 1 12" xfId="119"/>
    <cellStyle name="Título 1 13" xfId="120"/>
    <cellStyle name="Título 1 14" xfId="121"/>
    <cellStyle name="Título 1 15" xfId="122"/>
    <cellStyle name="Título 1 16" xfId="123"/>
    <cellStyle name="Título 1 17" xfId="124"/>
    <cellStyle name="Título 1 18" xfId="125"/>
    <cellStyle name="Título 1 19" xfId="126"/>
    <cellStyle name="Título 1 2" xfId="127"/>
    <cellStyle name="Título 1 20" xfId="128"/>
    <cellStyle name="Título 1 21" xfId="129"/>
    <cellStyle name="Título 1 22" xfId="130"/>
    <cellStyle name="Título 1 23" xfId="131"/>
    <cellStyle name="Título 1 24" xfId="132"/>
    <cellStyle name="Título 1 25" xfId="133"/>
    <cellStyle name="Título 1 26" xfId="134"/>
    <cellStyle name="Título 1 27" xfId="135"/>
    <cellStyle name="Título 1 28" xfId="136"/>
    <cellStyle name="Título 1 29" xfId="137"/>
    <cellStyle name="Título 1 3" xfId="138"/>
    <cellStyle name="Título 1 30" xfId="139"/>
    <cellStyle name="Título 1 31" xfId="140"/>
    <cellStyle name="Título 1 32" xfId="141"/>
    <cellStyle name="Título 1 33" xfId="142"/>
    <cellStyle name="Título 1 34" xfId="143"/>
    <cellStyle name="Título 1 35" xfId="144"/>
    <cellStyle name="Título 1 36" xfId="145"/>
    <cellStyle name="Título 1 37" xfId="146"/>
    <cellStyle name="Título 1 38" xfId="147"/>
    <cellStyle name="Título 1 39" xfId="148"/>
    <cellStyle name="Título 1 4" xfId="149"/>
    <cellStyle name="Título 1 40" xfId="150"/>
    <cellStyle name="Título 1 41" xfId="151"/>
    <cellStyle name="Título 1 42" xfId="152"/>
    <cellStyle name="Título 1 43" xfId="153"/>
    <cellStyle name="Título 1 44" xfId="154"/>
    <cellStyle name="Título 1 45" xfId="155"/>
    <cellStyle name="Título 1 46" xfId="156"/>
    <cellStyle name="Título 1 47" xfId="157"/>
    <cellStyle name="Título 1 48" xfId="158"/>
    <cellStyle name="Título 1 5" xfId="159"/>
    <cellStyle name="Título 1 6" xfId="160"/>
    <cellStyle name="Título 1 7" xfId="161"/>
    <cellStyle name="Título 1 8" xfId="162"/>
    <cellStyle name="Título 1 9" xfId="1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view3D>
      <c:rotX val="30"/>
      <c:rotY val="200"/>
      <c:perspective val="50"/>
    </c:view3D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6.0304526748971514E-2"/>
                  <c:y val="-0.15367460243940095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586565568192856E-2"/>
                  <c:y val="-4.4648818897637797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081818476394697E-2"/>
                  <c:y val="-0.1020227883279303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587777741040536E-4"/>
                  <c:y val="-3.3466138957674802E-3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412960008596745E-2"/>
                  <c:y val="4.4353369829870933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8757007225949282E-2"/>
                  <c:y val="5.2314590088004133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630569326982283E-3"/>
                  <c:y val="8.675893160413771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0156573020964971E-2"/>
                  <c:y val="8.5771313879882766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3264097837587824E-2"/>
                  <c:y val="6.1899669413300724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9952950325653833E-2"/>
                  <c:y val="-3.0697421645823692E-2"/>
                </c:manualLayout>
              </c:layout>
              <c:showPercent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7B5-4AB7-9DC9-A1D98B91584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'iniciativas estratégicas'!$B$6:$B$15</c:f>
              <c:strCache>
                <c:ptCount val="10"/>
                <c:pt idx="0">
                  <c:v>Gestão de Contratos</c:v>
                </c:pt>
                <c:pt idx="1">
                  <c:v>Assistência ao Estudante de Ensino Superior</c:v>
                </c:pt>
                <c:pt idx="2">
                  <c:v>Projetos Institucionais</c:v>
                </c:pt>
                <c:pt idx="3">
                  <c:v>Fomento ao Ensino, Pesquisa e Extensão</c:v>
                </c:pt>
                <c:pt idx="4">
                  <c:v>Unidades Acadêmicas</c:v>
                </c:pt>
                <c:pt idx="5">
                  <c:v>Investimento em Expansão</c:v>
                </c:pt>
                <c:pt idx="6">
                  <c:v>Gestão Administrativa</c:v>
                </c:pt>
                <c:pt idx="7">
                  <c:v>Educação Profissional e Tecnológica</c:v>
                </c:pt>
                <c:pt idx="8">
                  <c:v>Capacitação de Servidores Públicos</c:v>
                </c:pt>
                <c:pt idx="9">
                  <c:v>Educação básica</c:v>
                </c:pt>
              </c:strCache>
            </c:strRef>
          </c:cat>
          <c:val>
            <c:numRef>
              <c:f>'iniciativas estratégicas'!$C$6:$C$15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7B5-4AB7-9DC9-A1D98B915842}"/>
            </c:ext>
          </c:extLst>
        </c:ser>
      </c:pie3DChart>
    </c:plotArea>
    <c:legend>
      <c:legendPos val="r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zero"/>
  </c:chart>
  <c:printSettings>
    <c:headerFooter/>
    <c:pageMargins b="0.78740157499999996" l="0.511811024" r="0.511811024" t="0.78740157499999996" header="0.31496062000000297" footer="0.3149606200000029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557893</xdr:colOff>
      <xdr:row>3</xdr:row>
      <xdr:rowOff>88446</xdr:rowOff>
    </xdr:from>
    <xdr:to>
      <xdr:col>17</xdr:col>
      <xdr:colOff>541564</xdr:colOff>
      <xdr:row>32</xdr:row>
      <xdr:rowOff>40821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MUNDO-PC\Or&#231;ament&#225;rio\PGO%202017\QDDs\Proposta%20Or&#231;ament&#225;ria%20das%20Unidades%20Administrativas%202017%20-%20CONSOLIDA&#199;&#195;O%20-%20Vers&#227;o%20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ÇÃO"/>
      <sheetName val="Resumo"/>
      <sheetName val="PROINTER"/>
      <sheetName val="PROEG"/>
      <sheetName val="CIAC"/>
      <sheetName val="PROEX- Final"/>
      <sheetName val="Prefeitura - ok"/>
      <sheetName val="PROAD - OK (2)"/>
      <sheetName val="Coordenação do REUNI - ok"/>
      <sheetName val="PROPESP"/>
      <sheetName val="PROPLAN-OK"/>
      <sheetName val="AEDI-OK"/>
      <sheetName val="CTIC"/>
      <sheetName val="Editora da UFPA-ok"/>
      <sheetName val="Agência Inov Tecnol"/>
      <sheetName val="Vice-Reitoria -OK"/>
      <sheetName val="Biblioteca Central-OK"/>
      <sheetName val="AUDIN-OK"/>
      <sheetName val="Museu da UFPA-OK"/>
      <sheetName val="ASCOM-OK"/>
      <sheetName val="PROGEP"/>
      <sheetName val="Reitoria - ok"/>
    </sheetNames>
    <sheetDataSet>
      <sheetData sheetId="0" refreshError="1"/>
      <sheetData sheetId="1" refreshError="1"/>
      <sheetData sheetId="2" refreshError="1"/>
      <sheetData sheetId="3" refreshError="1">
        <row r="20">
          <cell r="S20">
            <v>36000</v>
          </cell>
        </row>
        <row r="21">
          <cell r="S21">
            <v>135416</v>
          </cell>
        </row>
        <row r="23">
          <cell r="S23">
            <v>90000</v>
          </cell>
        </row>
        <row r="25">
          <cell r="S25">
            <v>135000</v>
          </cell>
        </row>
        <row r="28">
          <cell r="S28">
            <v>20000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1">
          <cell r="T21">
            <v>22925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showGridLines="0" tabSelected="1" view="pageBreakPreview" zoomScale="25" zoomScaleNormal="30" zoomScaleSheetLayoutView="25" zoomScalePageLayoutView="25" workbookViewId="0">
      <selection sqref="A1:Q1"/>
    </sheetView>
  </sheetViews>
  <sheetFormatPr defaultRowHeight="35.1" customHeight="1"/>
  <cols>
    <col min="1" max="1" width="51.85546875" style="41" customWidth="1"/>
    <col min="2" max="2" width="112.42578125" style="27" customWidth="1"/>
    <col min="3" max="3" width="70.42578125" style="27" customWidth="1"/>
    <col min="4" max="4" width="26.7109375" style="27" customWidth="1"/>
    <col min="5" max="5" width="55.28515625" style="27" customWidth="1"/>
    <col min="6" max="6" width="70.85546875" style="11" hidden="1" customWidth="1"/>
    <col min="7" max="7" width="36.42578125" style="11" customWidth="1"/>
    <col min="8" max="8" width="35.5703125" style="11" customWidth="1"/>
    <col min="9" max="9" width="68.7109375" style="11" bestFit="1" customWidth="1"/>
    <col min="10" max="10" width="88.28515625" style="11" customWidth="1"/>
    <col min="11" max="11" width="94.42578125" style="11" customWidth="1"/>
    <col min="12" max="12" width="62.42578125" style="27" bestFit="1" customWidth="1"/>
    <col min="13" max="13" width="92.5703125" style="27" customWidth="1"/>
    <col min="14" max="14" width="9.140625" style="27"/>
    <col min="15" max="15" width="9.140625" style="27" customWidth="1"/>
    <col min="16" max="16" width="68.7109375" style="27" customWidth="1"/>
    <col min="17" max="17" width="61.7109375" style="27" bestFit="1" customWidth="1"/>
    <col min="18" max="16384" width="9.140625" style="27"/>
  </cols>
  <sheetData>
    <row r="1" spans="1:17" ht="60">
      <c r="A1" s="981" t="s">
        <v>51</v>
      </c>
      <c r="B1" s="981"/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</row>
    <row r="2" spans="1:17" ht="60">
      <c r="A2" s="981" t="s">
        <v>52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</row>
    <row r="3" spans="1:17" ht="60">
      <c r="A3" s="982" t="s">
        <v>50</v>
      </c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  <c r="M3" s="982"/>
      <c r="N3" s="982"/>
      <c r="O3" s="982"/>
      <c r="P3" s="982"/>
      <c r="Q3" s="982"/>
    </row>
    <row r="4" spans="1:17" ht="59.25">
      <c r="A4" s="862"/>
      <c r="B4" s="862"/>
      <c r="C4" s="862"/>
      <c r="D4" s="862"/>
      <c r="E4" s="862"/>
      <c r="F4" s="862"/>
      <c r="G4" s="863"/>
      <c r="H4" s="863"/>
      <c r="I4" s="863"/>
      <c r="J4" s="863"/>
      <c r="K4" s="863"/>
    </row>
    <row r="5" spans="1:17" ht="60">
      <c r="A5" s="981" t="s">
        <v>1489</v>
      </c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  <c r="M5" s="981"/>
      <c r="N5" s="981"/>
      <c r="O5" s="981"/>
      <c r="P5" s="981"/>
      <c r="Q5" s="981"/>
    </row>
    <row r="6" spans="1:17" ht="20.100000000000001" customHeight="1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7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7" ht="20.100000000000001" customHeight="1">
      <c r="A8" s="65"/>
      <c r="B8" s="65"/>
      <c r="C8" s="65"/>
      <c r="D8" s="65"/>
      <c r="E8" s="65"/>
      <c r="F8" s="65"/>
      <c r="G8" s="68"/>
      <c r="H8" s="68"/>
      <c r="I8" s="68"/>
      <c r="J8" s="68"/>
      <c r="K8" s="68"/>
    </row>
    <row r="9" spans="1:17" ht="44.25" customHeight="1">
      <c r="A9" s="979"/>
      <c r="B9" s="979"/>
      <c r="C9" s="979"/>
      <c r="D9" s="979"/>
      <c r="E9" s="979"/>
      <c r="F9" s="979"/>
      <c r="G9" s="979"/>
      <c r="H9" s="979"/>
      <c r="I9" s="979"/>
      <c r="J9" s="979"/>
      <c r="K9" s="979"/>
    </row>
    <row r="10" spans="1:17" ht="89.25">
      <c r="A10" s="980" t="s">
        <v>134</v>
      </c>
      <c r="B10" s="980"/>
      <c r="C10" s="980"/>
      <c r="D10" s="980"/>
      <c r="E10" s="980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</row>
    <row r="11" spans="1:17" s="555" customFormat="1" ht="63.75" customHeight="1">
      <c r="A11" s="983"/>
      <c r="B11" s="985" t="s">
        <v>2213</v>
      </c>
      <c r="C11" s="880"/>
      <c r="D11" s="880"/>
      <c r="E11" s="880"/>
      <c r="F11" s="881"/>
      <c r="G11" s="978" t="s">
        <v>440</v>
      </c>
      <c r="H11" s="987" t="s">
        <v>16</v>
      </c>
      <c r="I11" s="978" t="s">
        <v>1490</v>
      </c>
      <c r="J11" s="978" t="s">
        <v>2203</v>
      </c>
      <c r="K11" s="976" t="s">
        <v>2458</v>
      </c>
      <c r="L11" s="976" t="s">
        <v>2457</v>
      </c>
      <c r="M11" s="976" t="s">
        <v>2459</v>
      </c>
      <c r="N11" s="882"/>
      <c r="O11" s="882"/>
      <c r="P11" s="976" t="s">
        <v>2484</v>
      </c>
      <c r="Q11" s="976" t="s">
        <v>2485</v>
      </c>
    </row>
    <row r="12" spans="1:17" s="555" customFormat="1" ht="71.25" customHeight="1">
      <c r="A12" s="984"/>
      <c r="B12" s="986"/>
      <c r="C12" s="883"/>
      <c r="D12" s="883"/>
      <c r="E12" s="883"/>
      <c r="F12" s="884"/>
      <c r="G12" s="978"/>
      <c r="H12" s="988"/>
      <c r="I12" s="978"/>
      <c r="J12" s="978"/>
      <c r="K12" s="977"/>
      <c r="L12" s="977"/>
      <c r="M12" s="977"/>
      <c r="N12" s="882"/>
      <c r="O12" s="882"/>
      <c r="P12" s="977"/>
      <c r="Q12" s="977"/>
    </row>
    <row r="13" spans="1:17" s="571" customFormat="1" ht="111.75" customHeight="1">
      <c r="A13" s="864"/>
      <c r="B13" s="989" t="s">
        <v>2494</v>
      </c>
      <c r="C13" s="990"/>
      <c r="D13" s="990"/>
      <c r="E13" s="990"/>
      <c r="F13" s="991"/>
      <c r="G13" s="865">
        <v>8100</v>
      </c>
      <c r="H13" s="866"/>
      <c r="I13" s="871">
        <v>692098.4</v>
      </c>
      <c r="J13" s="871">
        <v>401061.6</v>
      </c>
      <c r="K13" s="871">
        <v>1093160</v>
      </c>
      <c r="L13" s="871">
        <v>27745</v>
      </c>
      <c r="M13" s="871">
        <v>1120905</v>
      </c>
      <c r="N13" s="872"/>
      <c r="O13" s="872"/>
      <c r="P13" s="871">
        <v>1130915</v>
      </c>
      <c r="Q13" s="871">
        <v>-10010</v>
      </c>
    </row>
    <row r="14" spans="1:17" s="548" customFormat="1" ht="111.75" customHeight="1">
      <c r="A14" s="867" t="s">
        <v>196</v>
      </c>
      <c r="B14" s="992" t="s">
        <v>348</v>
      </c>
      <c r="C14" s="993"/>
      <c r="D14" s="993"/>
      <c r="E14" s="993"/>
      <c r="F14" s="994"/>
      <c r="G14" s="868"/>
      <c r="H14" s="869">
        <v>169714</v>
      </c>
      <c r="I14" s="873">
        <v>692098.4</v>
      </c>
      <c r="J14" s="873">
        <v>401061.6</v>
      </c>
      <c r="K14" s="873">
        <v>1093160</v>
      </c>
      <c r="L14" s="873">
        <v>27745</v>
      </c>
      <c r="M14" s="873">
        <v>1120905</v>
      </c>
      <c r="N14" s="874"/>
      <c r="O14" s="874"/>
      <c r="P14" s="873">
        <v>1130915</v>
      </c>
      <c r="Q14" s="873">
        <v>-10010</v>
      </c>
    </row>
    <row r="15" spans="1:17" s="571" customFormat="1" ht="159" customHeight="1">
      <c r="A15" s="864"/>
      <c r="B15" s="989" t="s">
        <v>2536</v>
      </c>
      <c r="C15" s="990"/>
      <c r="D15" s="990"/>
      <c r="E15" s="990"/>
      <c r="F15" s="991"/>
      <c r="G15" s="865">
        <v>8100</v>
      </c>
      <c r="H15" s="866"/>
      <c r="I15" s="871">
        <v>1310460</v>
      </c>
      <c r="J15" s="871">
        <v>759390</v>
      </c>
      <c r="K15" s="871">
        <v>2069850</v>
      </c>
      <c r="L15" s="871">
        <v>52535</v>
      </c>
      <c r="M15" s="871">
        <v>2122385</v>
      </c>
      <c r="N15" s="872"/>
      <c r="O15" s="872"/>
      <c r="P15" s="871">
        <v>2141334</v>
      </c>
      <c r="Q15" s="871">
        <v>-18949</v>
      </c>
    </row>
    <row r="16" spans="1:17" s="548" customFormat="1" ht="111.75" customHeight="1">
      <c r="A16" s="867" t="s">
        <v>2</v>
      </c>
      <c r="B16" s="992" t="s">
        <v>347</v>
      </c>
      <c r="C16" s="993"/>
      <c r="D16" s="993"/>
      <c r="E16" s="993"/>
      <c r="F16" s="994"/>
      <c r="G16" s="868"/>
      <c r="H16" s="869">
        <v>169708</v>
      </c>
      <c r="I16" s="873">
        <v>1310460</v>
      </c>
      <c r="J16" s="873">
        <v>759390</v>
      </c>
      <c r="K16" s="873">
        <v>2069850</v>
      </c>
      <c r="L16" s="873">
        <v>52535</v>
      </c>
      <c r="M16" s="873">
        <v>2122385</v>
      </c>
      <c r="N16" s="874"/>
      <c r="O16" s="874"/>
      <c r="P16" s="873">
        <v>2141334</v>
      </c>
      <c r="Q16" s="873">
        <v>-18949</v>
      </c>
    </row>
    <row r="17" spans="1:17" s="571" customFormat="1" ht="136.5" customHeight="1">
      <c r="A17" s="864"/>
      <c r="B17" s="989" t="s">
        <v>2537</v>
      </c>
      <c r="C17" s="990"/>
      <c r="D17" s="990"/>
      <c r="E17" s="990"/>
      <c r="F17" s="991"/>
      <c r="G17" s="870" t="s">
        <v>1321</v>
      </c>
      <c r="H17" s="866"/>
      <c r="I17" s="871">
        <v>337247</v>
      </c>
      <c r="J17" s="871">
        <v>232108</v>
      </c>
      <c r="K17" s="871">
        <v>569355</v>
      </c>
      <c r="L17" s="871">
        <v>13520</v>
      </c>
      <c r="M17" s="871">
        <v>582875</v>
      </c>
      <c r="N17" s="872"/>
      <c r="O17" s="872"/>
      <c r="P17" s="871">
        <v>589050</v>
      </c>
      <c r="Q17" s="871">
        <v>-6175</v>
      </c>
    </row>
    <row r="18" spans="1:17" s="548" customFormat="1" ht="111.75" customHeight="1">
      <c r="A18" s="867" t="s">
        <v>480</v>
      </c>
      <c r="B18" s="992" t="s">
        <v>482</v>
      </c>
      <c r="C18" s="993"/>
      <c r="D18" s="993"/>
      <c r="E18" s="993"/>
      <c r="F18" s="994"/>
      <c r="G18" s="868"/>
      <c r="H18" s="869">
        <v>169715</v>
      </c>
      <c r="I18" s="873">
        <v>328657</v>
      </c>
      <c r="J18" s="873">
        <v>226198</v>
      </c>
      <c r="K18" s="873">
        <v>554855</v>
      </c>
      <c r="L18" s="873">
        <v>13520</v>
      </c>
      <c r="M18" s="873">
        <v>568375</v>
      </c>
      <c r="N18" s="874"/>
      <c r="O18" s="874"/>
      <c r="P18" s="873">
        <v>574050</v>
      </c>
      <c r="Q18" s="873">
        <v>-5675</v>
      </c>
    </row>
    <row r="19" spans="1:17" s="548" customFormat="1" ht="111.75" customHeight="1">
      <c r="A19" s="867" t="s">
        <v>533</v>
      </c>
      <c r="B19" s="992" t="s">
        <v>1255</v>
      </c>
      <c r="C19" s="993"/>
      <c r="D19" s="993"/>
      <c r="E19" s="993"/>
      <c r="F19" s="994"/>
      <c r="G19" s="868"/>
      <c r="H19" s="869">
        <v>169709</v>
      </c>
      <c r="I19" s="873">
        <v>8590</v>
      </c>
      <c r="J19" s="873">
        <v>5910</v>
      </c>
      <c r="K19" s="873">
        <v>14500</v>
      </c>
      <c r="L19" s="873"/>
      <c r="M19" s="873">
        <v>14500</v>
      </c>
      <c r="N19" s="874"/>
      <c r="O19" s="874"/>
      <c r="P19" s="873">
        <v>15000</v>
      </c>
      <c r="Q19" s="873">
        <v>-500</v>
      </c>
    </row>
    <row r="20" spans="1:17" s="571" customFormat="1" ht="111.75" customHeight="1">
      <c r="A20" s="864"/>
      <c r="B20" s="989" t="s">
        <v>2495</v>
      </c>
      <c r="C20" s="990"/>
      <c r="D20" s="990"/>
      <c r="E20" s="990"/>
      <c r="F20" s="991"/>
      <c r="G20" s="865">
        <v>8100</v>
      </c>
      <c r="H20" s="866"/>
      <c r="I20" s="871">
        <v>149841</v>
      </c>
      <c r="J20" s="871">
        <v>103130</v>
      </c>
      <c r="K20" s="871">
        <v>252971</v>
      </c>
      <c r="L20" s="871">
        <v>6007</v>
      </c>
      <c r="M20" s="871">
        <v>258978</v>
      </c>
      <c r="N20" s="872"/>
      <c r="O20" s="872"/>
      <c r="P20" s="871">
        <v>261725</v>
      </c>
      <c r="Q20" s="871">
        <v>-2747</v>
      </c>
    </row>
    <row r="21" spans="1:17" s="548" customFormat="1" ht="111.75" customHeight="1">
      <c r="A21" s="867" t="s">
        <v>534</v>
      </c>
      <c r="B21" s="992" t="s">
        <v>1486</v>
      </c>
      <c r="C21" s="993"/>
      <c r="D21" s="993"/>
      <c r="E21" s="993"/>
      <c r="F21" s="994"/>
      <c r="G21" s="868"/>
      <c r="H21" s="869">
        <v>169710</v>
      </c>
      <c r="I21" s="873">
        <v>34351</v>
      </c>
      <c r="J21" s="873">
        <v>23642</v>
      </c>
      <c r="K21" s="873">
        <v>57993</v>
      </c>
      <c r="L21" s="873">
        <v>1377</v>
      </c>
      <c r="M21" s="873">
        <v>59370</v>
      </c>
      <c r="N21" s="874"/>
      <c r="O21" s="874"/>
      <c r="P21" s="873">
        <v>60000</v>
      </c>
      <c r="Q21" s="873">
        <v>-630</v>
      </c>
    </row>
    <row r="22" spans="1:17" s="548" customFormat="1" ht="111.75" customHeight="1">
      <c r="A22" s="867" t="s">
        <v>1323</v>
      </c>
      <c r="B22" s="992" t="s">
        <v>1324</v>
      </c>
      <c r="C22" s="993"/>
      <c r="D22" s="993"/>
      <c r="E22" s="993"/>
      <c r="F22" s="994"/>
      <c r="G22" s="868"/>
      <c r="H22" s="869">
        <v>169710</v>
      </c>
      <c r="I22" s="873">
        <v>115490</v>
      </c>
      <c r="J22" s="873">
        <v>79488</v>
      </c>
      <c r="K22" s="873">
        <v>194978</v>
      </c>
      <c r="L22" s="873">
        <v>4630</v>
      </c>
      <c r="M22" s="873">
        <v>199608</v>
      </c>
      <c r="N22" s="874"/>
      <c r="O22" s="874"/>
      <c r="P22" s="873">
        <v>201725</v>
      </c>
      <c r="Q22" s="873">
        <v>-2117</v>
      </c>
    </row>
    <row r="23" spans="1:17" s="571" customFormat="1" ht="111.75" customHeight="1">
      <c r="A23" s="864"/>
      <c r="B23" s="989" t="s">
        <v>2496</v>
      </c>
      <c r="C23" s="990"/>
      <c r="D23" s="990"/>
      <c r="E23" s="990"/>
      <c r="F23" s="991"/>
      <c r="G23" s="865">
        <v>8100</v>
      </c>
      <c r="H23" s="866"/>
      <c r="I23" s="871">
        <v>76888734.488000005</v>
      </c>
      <c r="J23" s="871">
        <v>52390170.991999999</v>
      </c>
      <c r="K23" s="871">
        <v>129278905.48</v>
      </c>
      <c r="L23" s="871">
        <v>3070416</v>
      </c>
      <c r="M23" s="871">
        <v>132349321.48</v>
      </c>
      <c r="N23" s="872"/>
      <c r="O23" s="872"/>
      <c r="P23" s="871">
        <v>133750821.48000002</v>
      </c>
      <c r="Q23" s="871">
        <v>-1401500.0000000149</v>
      </c>
    </row>
    <row r="24" spans="1:17" s="548" customFormat="1" ht="111.75" customHeight="1">
      <c r="A24" s="867" t="s">
        <v>188</v>
      </c>
      <c r="B24" s="992" t="s">
        <v>192</v>
      </c>
      <c r="C24" s="993"/>
      <c r="D24" s="993"/>
      <c r="E24" s="993"/>
      <c r="F24" s="994"/>
      <c r="G24" s="868"/>
      <c r="H24" s="869">
        <v>169711</v>
      </c>
      <c r="I24" s="873">
        <v>52485631.800000004</v>
      </c>
      <c r="J24" s="873">
        <v>34990421.199999996</v>
      </c>
      <c r="K24" s="873">
        <v>87476053</v>
      </c>
      <c r="L24" s="873"/>
      <c r="M24" s="873">
        <v>87476053</v>
      </c>
      <c r="N24" s="874"/>
      <c r="O24" s="874"/>
      <c r="P24" s="873">
        <v>0</v>
      </c>
      <c r="Q24" s="873">
        <v>0</v>
      </c>
    </row>
    <row r="25" spans="1:17" s="548" customFormat="1" ht="111.75" customHeight="1">
      <c r="A25" s="867" t="s">
        <v>202</v>
      </c>
      <c r="B25" s="992" t="s">
        <v>189</v>
      </c>
      <c r="C25" s="993"/>
      <c r="D25" s="993"/>
      <c r="E25" s="993"/>
      <c r="F25" s="994"/>
      <c r="G25" s="868"/>
      <c r="H25" s="869">
        <v>169711</v>
      </c>
      <c r="I25" s="873">
        <v>2610814.2000000002</v>
      </c>
      <c r="J25" s="873">
        <v>1740542.8</v>
      </c>
      <c r="K25" s="873">
        <v>4351357</v>
      </c>
      <c r="L25" s="873"/>
      <c r="M25" s="873">
        <v>4351357</v>
      </c>
      <c r="N25" s="874"/>
      <c r="O25" s="874"/>
      <c r="P25" s="873">
        <v>0</v>
      </c>
      <c r="Q25" s="873">
        <v>0</v>
      </c>
    </row>
    <row r="26" spans="1:17" s="548" customFormat="1" ht="111.75" customHeight="1">
      <c r="A26" s="867" t="s">
        <v>2204</v>
      </c>
      <c r="B26" s="995" t="s">
        <v>2205</v>
      </c>
      <c r="C26" s="996"/>
      <c r="D26" s="996"/>
      <c r="E26" s="996"/>
      <c r="F26" s="997"/>
      <c r="G26" s="868"/>
      <c r="H26" s="869">
        <v>169711</v>
      </c>
      <c r="I26" s="873">
        <v>4581024.8220000006</v>
      </c>
      <c r="J26" s="873">
        <v>3054016.548</v>
      </c>
      <c r="K26" s="873">
        <v>7635041.370000001</v>
      </c>
      <c r="L26" s="873"/>
      <c r="M26" s="873">
        <v>7635041.370000001</v>
      </c>
      <c r="N26" s="874"/>
      <c r="O26" s="874"/>
      <c r="P26" s="873">
        <v>0</v>
      </c>
      <c r="Q26" s="873">
        <v>0</v>
      </c>
    </row>
    <row r="27" spans="1:17" s="548" customFormat="1" ht="111.75" customHeight="1">
      <c r="A27" s="867" t="s">
        <v>208</v>
      </c>
      <c r="B27" s="992" t="s">
        <v>131</v>
      </c>
      <c r="C27" s="993"/>
      <c r="D27" s="993"/>
      <c r="E27" s="993"/>
      <c r="F27" s="994"/>
      <c r="G27" s="868"/>
      <c r="H27" s="869">
        <v>169711</v>
      </c>
      <c r="I27" s="873">
        <v>1218000</v>
      </c>
      <c r="J27" s="873">
        <v>812000</v>
      </c>
      <c r="K27" s="873">
        <v>2030000</v>
      </c>
      <c r="L27" s="873"/>
      <c r="M27" s="873">
        <v>2030000</v>
      </c>
      <c r="N27" s="874"/>
      <c r="O27" s="874"/>
      <c r="P27" s="873">
        <v>0</v>
      </c>
      <c r="Q27" s="873">
        <v>0</v>
      </c>
    </row>
    <row r="28" spans="1:17" s="548" customFormat="1" ht="111.75" customHeight="1">
      <c r="A28" s="867" t="s">
        <v>1</v>
      </c>
      <c r="B28" s="992" t="s">
        <v>346</v>
      </c>
      <c r="C28" s="993"/>
      <c r="D28" s="993"/>
      <c r="E28" s="993"/>
      <c r="F28" s="994"/>
      <c r="G28" s="868"/>
      <c r="H28" s="869">
        <v>169711</v>
      </c>
      <c r="I28" s="873">
        <v>1317000</v>
      </c>
      <c r="J28" s="873">
        <v>878000</v>
      </c>
      <c r="K28" s="873">
        <v>2195000</v>
      </c>
      <c r="L28" s="873"/>
      <c r="M28" s="873">
        <v>2195000</v>
      </c>
      <c r="N28" s="874"/>
      <c r="O28" s="874"/>
      <c r="P28" s="873">
        <v>0</v>
      </c>
      <c r="Q28" s="873">
        <v>0</v>
      </c>
    </row>
    <row r="29" spans="1:17" s="548" customFormat="1" ht="111.75" customHeight="1">
      <c r="A29" s="867" t="s">
        <v>2441</v>
      </c>
      <c r="B29" s="992" t="s">
        <v>2443</v>
      </c>
      <c r="C29" s="993"/>
      <c r="D29" s="993"/>
      <c r="E29" s="993"/>
      <c r="F29" s="994"/>
      <c r="G29" s="868"/>
      <c r="H29" s="869">
        <v>169711</v>
      </c>
      <c r="I29" s="873">
        <v>9076232.4000000004</v>
      </c>
      <c r="J29" s="873">
        <v>7203987.6000000006</v>
      </c>
      <c r="K29" s="873">
        <v>16280220</v>
      </c>
      <c r="L29" s="873">
        <v>3061740</v>
      </c>
      <c r="M29" s="873">
        <v>19341960</v>
      </c>
      <c r="N29" s="874"/>
      <c r="O29" s="874"/>
      <c r="P29" s="873">
        <v>0</v>
      </c>
      <c r="Q29" s="873">
        <v>0</v>
      </c>
    </row>
    <row r="30" spans="1:17" s="548" customFormat="1" ht="111.75" customHeight="1">
      <c r="A30" s="867" t="s">
        <v>194</v>
      </c>
      <c r="B30" s="992" t="s">
        <v>199</v>
      </c>
      <c r="C30" s="993"/>
      <c r="D30" s="993"/>
      <c r="E30" s="993"/>
      <c r="F30" s="994"/>
      <c r="G30" s="868"/>
      <c r="H30" s="869">
        <v>169711</v>
      </c>
      <c r="I30" s="873">
        <v>671533.8</v>
      </c>
      <c r="J30" s="873">
        <v>447689.2</v>
      </c>
      <c r="K30" s="873">
        <v>1119223</v>
      </c>
      <c r="L30" s="873"/>
      <c r="M30" s="873">
        <v>1119223</v>
      </c>
      <c r="N30" s="874"/>
      <c r="O30" s="874"/>
      <c r="P30" s="873">
        <v>0</v>
      </c>
      <c r="Q30" s="873">
        <v>0</v>
      </c>
    </row>
    <row r="31" spans="1:17" s="548" customFormat="1" ht="111.75" customHeight="1">
      <c r="A31" s="867" t="s">
        <v>244</v>
      </c>
      <c r="B31" s="992" t="s">
        <v>266</v>
      </c>
      <c r="C31" s="993"/>
      <c r="D31" s="993"/>
      <c r="E31" s="993"/>
      <c r="F31" s="994"/>
      <c r="G31" s="868"/>
      <c r="H31" s="869">
        <v>169711</v>
      </c>
      <c r="I31" s="873">
        <v>2070411.6660000002</v>
      </c>
      <c r="J31" s="873">
        <v>1380274.4439999999</v>
      </c>
      <c r="K31" s="873">
        <v>3450686.1100000003</v>
      </c>
      <c r="L31" s="873"/>
      <c r="M31" s="873">
        <v>3450686.1100000003</v>
      </c>
      <c r="N31" s="874"/>
      <c r="O31" s="874"/>
      <c r="P31" s="873">
        <v>0</v>
      </c>
      <c r="Q31" s="873">
        <v>0</v>
      </c>
    </row>
    <row r="32" spans="1:17" s="548" customFormat="1" ht="111.75" customHeight="1">
      <c r="A32" s="867" t="s">
        <v>9</v>
      </c>
      <c r="B32" s="992" t="s">
        <v>270</v>
      </c>
      <c r="C32" s="993"/>
      <c r="D32" s="993"/>
      <c r="E32" s="993"/>
      <c r="F32" s="994"/>
      <c r="G32" s="868"/>
      <c r="H32" s="869">
        <v>169711</v>
      </c>
      <c r="I32" s="873">
        <v>2652600</v>
      </c>
      <c r="J32" s="873">
        <v>1768400</v>
      </c>
      <c r="K32" s="873">
        <v>4421000</v>
      </c>
      <c r="L32" s="873"/>
      <c r="M32" s="873">
        <v>4421000</v>
      </c>
      <c r="N32" s="874"/>
      <c r="O32" s="874"/>
      <c r="P32" s="873">
        <v>0</v>
      </c>
      <c r="Q32" s="873">
        <v>0</v>
      </c>
    </row>
    <row r="33" spans="1:17" s="548" customFormat="1" ht="111.75" customHeight="1">
      <c r="A33" s="867" t="s">
        <v>417</v>
      </c>
      <c r="B33" s="998" t="s">
        <v>420</v>
      </c>
      <c r="C33" s="999"/>
      <c r="D33" s="999"/>
      <c r="E33" s="999"/>
      <c r="F33" s="1000"/>
      <c r="G33" s="868"/>
      <c r="H33" s="869">
        <v>169716</v>
      </c>
      <c r="I33" s="873">
        <v>205485.8</v>
      </c>
      <c r="J33" s="873">
        <v>114839.2</v>
      </c>
      <c r="K33" s="873">
        <v>320325</v>
      </c>
      <c r="L33" s="873">
        <v>8676</v>
      </c>
      <c r="M33" s="873">
        <v>329001</v>
      </c>
      <c r="N33" s="874"/>
      <c r="O33" s="874"/>
      <c r="P33" s="873">
        <v>323819</v>
      </c>
      <c r="Q33" s="873">
        <v>5182</v>
      </c>
    </row>
    <row r="34" spans="1:17" s="571" customFormat="1" ht="111.75" customHeight="1">
      <c r="A34" s="864"/>
      <c r="B34" s="989" t="s">
        <v>2497</v>
      </c>
      <c r="C34" s="990"/>
      <c r="D34" s="990"/>
      <c r="E34" s="990"/>
      <c r="F34" s="991"/>
      <c r="G34" s="870" t="s">
        <v>1321</v>
      </c>
      <c r="H34" s="866"/>
      <c r="I34" s="871">
        <v>17311734.199999999</v>
      </c>
      <c r="J34" s="871">
        <v>11914694.800000001</v>
      </c>
      <c r="K34" s="871">
        <v>29226429</v>
      </c>
      <c r="L34" s="871">
        <v>694021</v>
      </c>
      <c r="M34" s="871">
        <v>29920450</v>
      </c>
      <c r="N34" s="872"/>
      <c r="O34" s="872"/>
      <c r="P34" s="871">
        <v>30237405</v>
      </c>
      <c r="Q34" s="871">
        <v>-316955</v>
      </c>
    </row>
    <row r="35" spans="1:17" s="548" customFormat="1" ht="111.75" customHeight="1">
      <c r="A35" s="867" t="s">
        <v>340</v>
      </c>
      <c r="B35" s="992" t="s">
        <v>2523</v>
      </c>
      <c r="C35" s="993"/>
      <c r="D35" s="993"/>
      <c r="E35" s="993"/>
      <c r="F35" s="994"/>
      <c r="G35" s="868"/>
      <c r="H35" s="869">
        <v>169712</v>
      </c>
      <c r="I35" s="873">
        <v>7331246</v>
      </c>
      <c r="J35" s="873">
        <v>5062264</v>
      </c>
      <c r="K35" s="873">
        <v>12393510</v>
      </c>
      <c r="L35" s="873">
        <v>324710</v>
      </c>
      <c r="M35" s="873">
        <v>12718220</v>
      </c>
      <c r="N35" s="874"/>
      <c r="O35" s="874"/>
      <c r="P35" s="873">
        <v>12866513</v>
      </c>
      <c r="Q35" s="873">
        <v>-148293</v>
      </c>
    </row>
    <row r="36" spans="1:17" s="548" customFormat="1" ht="111.75" customHeight="1">
      <c r="A36" s="867" t="s">
        <v>721</v>
      </c>
      <c r="B36" s="992" t="s">
        <v>727</v>
      </c>
      <c r="C36" s="993"/>
      <c r="D36" s="993"/>
      <c r="E36" s="993"/>
      <c r="F36" s="994"/>
      <c r="G36" s="868"/>
      <c r="H36" s="869">
        <v>169717</v>
      </c>
      <c r="I36" s="873">
        <v>9980488.1999999993</v>
      </c>
      <c r="J36" s="873">
        <v>6852430.8000000007</v>
      </c>
      <c r="K36" s="873">
        <v>16832919</v>
      </c>
      <c r="L36" s="873">
        <v>369311</v>
      </c>
      <c r="M36" s="873">
        <v>17202230</v>
      </c>
      <c r="N36" s="874"/>
      <c r="O36" s="874"/>
      <c r="P36" s="873">
        <v>17370892</v>
      </c>
      <c r="Q36" s="873">
        <v>-168662</v>
      </c>
    </row>
    <row r="37" spans="1:17" s="571" customFormat="1" ht="111.75" customHeight="1">
      <c r="A37" s="864"/>
      <c r="B37" s="989" t="s">
        <v>2498</v>
      </c>
      <c r="C37" s="990"/>
      <c r="D37" s="990"/>
      <c r="E37" s="990"/>
      <c r="F37" s="991"/>
      <c r="G37" s="865">
        <v>8100</v>
      </c>
      <c r="H37" s="866"/>
      <c r="I37" s="871">
        <v>5663258</v>
      </c>
      <c r="J37" s="871">
        <v>0</v>
      </c>
      <c r="K37" s="871">
        <v>5663258</v>
      </c>
      <c r="L37" s="871">
        <v>0</v>
      </c>
      <c r="M37" s="871">
        <v>5663258</v>
      </c>
      <c r="N37" s="872"/>
      <c r="O37" s="872"/>
      <c r="P37" s="871">
        <v>5663260</v>
      </c>
      <c r="Q37" s="871">
        <v>-2</v>
      </c>
    </row>
    <row r="38" spans="1:17" s="548" customFormat="1" ht="111.75" customHeight="1">
      <c r="A38" s="867" t="s">
        <v>339</v>
      </c>
      <c r="B38" s="992" t="s">
        <v>800</v>
      </c>
      <c r="C38" s="993"/>
      <c r="D38" s="993"/>
      <c r="E38" s="993"/>
      <c r="F38" s="994"/>
      <c r="G38" s="868"/>
      <c r="H38" s="869">
        <v>169713</v>
      </c>
      <c r="I38" s="873">
        <v>5663258</v>
      </c>
      <c r="J38" s="873">
        <v>0</v>
      </c>
      <c r="K38" s="873">
        <v>5663258</v>
      </c>
      <c r="L38" s="873"/>
      <c r="M38" s="873">
        <v>5663258</v>
      </c>
      <c r="N38" s="874"/>
      <c r="O38" s="874"/>
      <c r="P38" s="873">
        <v>5663260</v>
      </c>
      <c r="Q38" s="873">
        <v>-2</v>
      </c>
    </row>
    <row r="39" spans="1:17" s="571" customFormat="1" ht="159" customHeight="1">
      <c r="A39" s="864"/>
      <c r="B39" s="989" t="s">
        <v>2499</v>
      </c>
      <c r="C39" s="990"/>
      <c r="D39" s="990"/>
      <c r="E39" s="990"/>
      <c r="F39" s="991"/>
      <c r="G39" s="865">
        <v>8100</v>
      </c>
      <c r="H39" s="866"/>
      <c r="I39" s="871">
        <v>933143.17999999993</v>
      </c>
      <c r="J39" s="871">
        <v>642233.12</v>
      </c>
      <c r="K39" s="871">
        <v>1575376.2999999998</v>
      </c>
      <c r="L39" s="871">
        <v>37409</v>
      </c>
      <c r="M39" s="871">
        <v>1612785.2999999998</v>
      </c>
      <c r="N39" s="872"/>
      <c r="O39" s="872"/>
      <c r="P39" s="871">
        <v>1629874.3</v>
      </c>
      <c r="Q39" s="871">
        <v>-17089.000000000233</v>
      </c>
    </row>
    <row r="40" spans="1:17" s="548" customFormat="1" ht="111.75" customHeight="1">
      <c r="A40" s="867" t="s">
        <v>193</v>
      </c>
      <c r="B40" s="992" t="s">
        <v>198</v>
      </c>
      <c r="C40" s="993"/>
      <c r="D40" s="993"/>
      <c r="E40" s="993"/>
      <c r="F40" s="994"/>
      <c r="G40" s="868"/>
      <c r="H40" s="869">
        <v>169707</v>
      </c>
      <c r="I40" s="873">
        <v>933143.17999999993</v>
      </c>
      <c r="J40" s="873">
        <v>642233.12</v>
      </c>
      <c r="K40" s="873">
        <v>1575376.2999999998</v>
      </c>
      <c r="L40" s="873">
        <v>37409</v>
      </c>
      <c r="M40" s="873">
        <v>1612785.2999999998</v>
      </c>
      <c r="N40" s="874"/>
      <c r="O40" s="874"/>
      <c r="P40" s="873">
        <v>1629874.3</v>
      </c>
      <c r="Q40" s="873">
        <v>-17089.000000000233</v>
      </c>
    </row>
    <row r="41" spans="1:17" s="571" customFormat="1" ht="111.75" customHeight="1">
      <c r="A41" s="864"/>
      <c r="B41" s="989" t="s">
        <v>2500</v>
      </c>
      <c r="C41" s="990"/>
      <c r="D41" s="990"/>
      <c r="E41" s="990"/>
      <c r="F41" s="991"/>
      <c r="G41" s="865">
        <v>8100</v>
      </c>
      <c r="H41" s="866"/>
      <c r="I41" s="871">
        <v>33754</v>
      </c>
      <c r="J41" s="871">
        <v>23230</v>
      </c>
      <c r="K41" s="871">
        <v>56984</v>
      </c>
      <c r="L41" s="871">
        <v>1377</v>
      </c>
      <c r="M41" s="871">
        <v>58361</v>
      </c>
      <c r="N41" s="872"/>
      <c r="O41" s="872"/>
      <c r="P41" s="871">
        <v>60000</v>
      </c>
      <c r="Q41" s="871">
        <v>-1639</v>
      </c>
    </row>
    <row r="42" spans="1:17" s="548" customFormat="1" ht="111.75" customHeight="1">
      <c r="A42" s="867" t="s">
        <v>832</v>
      </c>
      <c r="B42" s="992" t="s">
        <v>829</v>
      </c>
      <c r="C42" s="993"/>
      <c r="D42" s="993"/>
      <c r="E42" s="993"/>
      <c r="F42" s="994"/>
      <c r="G42" s="868"/>
      <c r="H42" s="869">
        <v>169706</v>
      </c>
      <c r="I42" s="873">
        <v>33754</v>
      </c>
      <c r="J42" s="873">
        <v>23230</v>
      </c>
      <c r="K42" s="873">
        <v>56984</v>
      </c>
      <c r="L42" s="873">
        <v>1377</v>
      </c>
      <c r="M42" s="873">
        <v>58361</v>
      </c>
      <c r="N42" s="874"/>
      <c r="O42" s="874"/>
      <c r="P42" s="873">
        <v>60000</v>
      </c>
      <c r="Q42" s="873">
        <v>-1639</v>
      </c>
    </row>
    <row r="43" spans="1:17" s="571" customFormat="1" ht="144" customHeight="1">
      <c r="A43" s="864"/>
      <c r="B43" s="989" t="s">
        <v>907</v>
      </c>
      <c r="C43" s="990"/>
      <c r="D43" s="990"/>
      <c r="E43" s="990"/>
      <c r="F43" s="991"/>
      <c r="G43" s="865">
        <v>8100</v>
      </c>
      <c r="H43" s="866"/>
      <c r="I43" s="871">
        <v>85879</v>
      </c>
      <c r="J43" s="871">
        <v>59106</v>
      </c>
      <c r="K43" s="871">
        <v>144985</v>
      </c>
      <c r="L43" s="871">
        <v>3442</v>
      </c>
      <c r="M43" s="871">
        <v>148427</v>
      </c>
      <c r="N43" s="872"/>
      <c r="O43" s="872"/>
      <c r="P43" s="871">
        <v>150000</v>
      </c>
      <c r="Q43" s="871">
        <v>-1573</v>
      </c>
    </row>
    <row r="44" spans="1:17" s="548" customFormat="1" ht="111.75" customHeight="1">
      <c r="A44" s="867" t="s">
        <v>715</v>
      </c>
      <c r="B44" s="992" t="s">
        <v>716</v>
      </c>
      <c r="C44" s="993"/>
      <c r="D44" s="993"/>
      <c r="E44" s="993"/>
      <c r="F44" s="994"/>
      <c r="G44" s="868"/>
      <c r="H44" s="869">
        <v>149343</v>
      </c>
      <c r="I44" s="873">
        <v>85879</v>
      </c>
      <c r="J44" s="873">
        <v>59106</v>
      </c>
      <c r="K44" s="873">
        <v>144985</v>
      </c>
      <c r="L44" s="873">
        <v>3442</v>
      </c>
      <c r="M44" s="873">
        <v>148427</v>
      </c>
      <c r="N44" s="874"/>
      <c r="O44" s="874"/>
      <c r="P44" s="873">
        <v>150000</v>
      </c>
      <c r="Q44" s="873">
        <v>-1573</v>
      </c>
    </row>
    <row r="45" spans="1:17" s="571" customFormat="1" ht="149.25" customHeight="1">
      <c r="A45" s="864"/>
      <c r="B45" s="989" t="s">
        <v>2501</v>
      </c>
      <c r="C45" s="990"/>
      <c r="D45" s="990"/>
      <c r="E45" s="990"/>
      <c r="F45" s="991"/>
      <c r="G45" s="865">
        <v>8100</v>
      </c>
      <c r="H45" s="866"/>
      <c r="I45" s="871">
        <v>5725</v>
      </c>
      <c r="J45" s="871">
        <v>3940</v>
      </c>
      <c r="K45" s="871">
        <v>9665</v>
      </c>
      <c r="L45" s="871">
        <v>229</v>
      </c>
      <c r="M45" s="871">
        <v>9894</v>
      </c>
      <c r="N45" s="872"/>
      <c r="O45" s="872"/>
      <c r="P45" s="871">
        <v>10000</v>
      </c>
      <c r="Q45" s="871">
        <v>-106</v>
      </c>
    </row>
    <row r="46" spans="1:17" s="548" customFormat="1" ht="111.75" customHeight="1">
      <c r="A46" s="867" t="s">
        <v>953</v>
      </c>
      <c r="B46" s="992" t="s">
        <v>1219</v>
      </c>
      <c r="C46" s="993"/>
      <c r="D46" s="993"/>
      <c r="E46" s="993"/>
      <c r="F46" s="994"/>
      <c r="G46" s="868"/>
      <c r="H46" s="869">
        <v>138152</v>
      </c>
      <c r="I46" s="873">
        <v>5725</v>
      </c>
      <c r="J46" s="873">
        <v>3940</v>
      </c>
      <c r="K46" s="873">
        <v>9665</v>
      </c>
      <c r="L46" s="873">
        <v>229</v>
      </c>
      <c r="M46" s="873">
        <v>9894</v>
      </c>
      <c r="N46" s="874"/>
      <c r="O46" s="874"/>
      <c r="P46" s="873">
        <v>10000</v>
      </c>
      <c r="Q46" s="873">
        <v>-106</v>
      </c>
    </row>
    <row r="47" spans="1:17" s="17" customFormat="1" ht="24.95" customHeight="1">
      <c r="A47" s="328"/>
      <c r="B47" s="217"/>
      <c r="C47" s="217"/>
      <c r="D47" s="217"/>
      <c r="E47" s="217"/>
      <c r="F47" s="217"/>
      <c r="G47" s="218"/>
      <c r="H47" s="218"/>
      <c r="I47" s="875"/>
      <c r="J47" s="875"/>
      <c r="K47" s="876"/>
      <c r="L47" s="876"/>
      <c r="M47" s="876"/>
      <c r="N47" s="877"/>
      <c r="O47" s="877"/>
      <c r="P47" s="876"/>
      <c r="Q47" s="876"/>
    </row>
    <row r="48" spans="1:17" s="472" customFormat="1" ht="56.25" customHeight="1">
      <c r="A48" s="1001" t="s">
        <v>200</v>
      </c>
      <c r="B48" s="1002"/>
      <c r="C48" s="1002"/>
      <c r="D48" s="1002"/>
      <c r="E48" s="1002"/>
      <c r="F48" s="1002"/>
      <c r="G48" s="1002"/>
      <c r="H48" s="1003"/>
      <c r="I48" s="878">
        <v>103411874.26800002</v>
      </c>
      <c r="J48" s="878">
        <v>66529064.512000002</v>
      </c>
      <c r="K48" s="878">
        <v>169940938.78000003</v>
      </c>
      <c r="L48" s="878">
        <v>3906701</v>
      </c>
      <c r="M48" s="878">
        <v>173847639.78000003</v>
      </c>
      <c r="N48" s="879"/>
      <c r="O48" s="879"/>
      <c r="P48" s="878">
        <v>175624384.78000003</v>
      </c>
      <c r="Q48" s="878">
        <v>-1776745</v>
      </c>
    </row>
    <row r="49" spans="1:13" s="17" customFormat="1" ht="39.950000000000003" customHeight="1">
      <c r="A49" s="25"/>
      <c r="B49" s="432"/>
      <c r="C49" s="432"/>
      <c r="D49" s="432"/>
      <c r="E49" s="432"/>
      <c r="F49" s="432"/>
      <c r="G49" s="432"/>
      <c r="H49" s="432"/>
      <c r="I49" s="433"/>
      <c r="J49" s="433"/>
      <c r="K49" s="433"/>
    </row>
    <row r="50" spans="1:13" ht="15" customHeight="1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</row>
    <row r="51" spans="1:13" s="17" customFormat="1" ht="19.5" customHeight="1">
      <c r="A51" s="749"/>
      <c r="B51" s="749"/>
      <c r="C51" s="749"/>
      <c r="D51" s="749"/>
      <c r="E51" s="749"/>
      <c r="F51" s="749"/>
      <c r="G51" s="66"/>
      <c r="H51" s="66"/>
      <c r="I51" s="66"/>
      <c r="J51" s="66"/>
      <c r="K51" s="66"/>
    </row>
    <row r="58" spans="1:13" ht="35.1" customHeight="1">
      <c r="J58" s="11">
        <v>29920450</v>
      </c>
      <c r="M58" s="27">
        <v>1612785.3</v>
      </c>
    </row>
  </sheetData>
  <mergeCells count="52">
    <mergeCell ref="A48:H48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35:F35"/>
    <mergeCell ref="B24:F24"/>
    <mergeCell ref="B25:F25"/>
    <mergeCell ref="B26:F26"/>
    <mergeCell ref="B27:F27"/>
    <mergeCell ref="B28:F28"/>
    <mergeCell ref="B30:F30"/>
    <mergeCell ref="B31:F31"/>
    <mergeCell ref="B32:F32"/>
    <mergeCell ref="B33:F33"/>
    <mergeCell ref="B34:F34"/>
    <mergeCell ref="B29:F29"/>
    <mergeCell ref="B23:F23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A11:A12"/>
    <mergeCell ref="B11:B12"/>
    <mergeCell ref="G11:G12"/>
    <mergeCell ref="H11:H12"/>
    <mergeCell ref="K11:K12"/>
    <mergeCell ref="A9:K9"/>
    <mergeCell ref="A10:Q10"/>
    <mergeCell ref="A1:Q1"/>
    <mergeCell ref="A2:Q2"/>
    <mergeCell ref="A3:Q3"/>
    <mergeCell ref="A5:Q5"/>
    <mergeCell ref="P11:P12"/>
    <mergeCell ref="Q11:Q12"/>
    <mergeCell ref="I11:I12"/>
    <mergeCell ref="J11:J12"/>
    <mergeCell ref="L11:L12"/>
    <mergeCell ref="M11:M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11" firstPageNumber="8" orientation="landscape" useFirstPageNumber="1" verticalDpi="300" r:id="rId1"/>
  <headerFooter alignWithMargins="0">
    <oddHeader xml:space="preserve">&amp;L
</oddHeader>
  </headerFooter>
  <rowBreaks count="1" manualBreakCount="1">
    <brk id="5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Plan2"/>
  <dimension ref="B13:N30"/>
  <sheetViews>
    <sheetView topLeftCell="A7" workbookViewId="0">
      <selection activeCell="H34" sqref="F34:H34"/>
    </sheetView>
  </sheetViews>
  <sheetFormatPr defaultRowHeight="12.75"/>
  <cols>
    <col min="2" max="3" width="9.140625" customWidth="1"/>
    <col min="4" max="4" width="15.140625" bestFit="1" customWidth="1"/>
    <col min="5" max="5" width="13" bestFit="1" customWidth="1"/>
    <col min="6" max="6" width="15" bestFit="1" customWidth="1"/>
    <col min="7" max="7" width="9.140625" hidden="1" customWidth="1"/>
    <col min="8" max="8" width="15" bestFit="1" customWidth="1"/>
    <col min="9" max="9" width="12.85546875" bestFit="1" customWidth="1"/>
    <col min="10" max="10" width="15" bestFit="1" customWidth="1"/>
    <col min="11" max="11" width="9.28515625" hidden="1" customWidth="1"/>
    <col min="12" max="12" width="16.5703125" customWidth="1"/>
    <col min="13" max="13" width="12.7109375" customWidth="1"/>
    <col min="14" max="14" width="14.42578125" customWidth="1"/>
  </cols>
  <sheetData>
    <row r="13" spans="2:14" ht="13.5" thickBot="1"/>
    <row r="14" spans="2:14" ht="24.75" customHeight="1">
      <c r="C14" s="1309" t="s">
        <v>739</v>
      </c>
      <c r="D14" s="1310"/>
      <c r="E14" s="1310"/>
      <c r="F14" s="1311"/>
      <c r="G14" s="1309" t="s">
        <v>703</v>
      </c>
      <c r="H14" s="1310"/>
      <c r="I14" s="1310"/>
      <c r="J14" s="1311"/>
      <c r="K14" s="1309" t="s">
        <v>741</v>
      </c>
      <c r="L14" s="1310"/>
      <c r="M14" s="1310"/>
      <c r="N14" s="1311"/>
    </row>
    <row r="15" spans="2:14" s="296" customFormat="1" ht="16.5" customHeight="1">
      <c r="C15" s="309" t="s">
        <v>740</v>
      </c>
      <c r="D15" s="310" t="s">
        <v>736</v>
      </c>
      <c r="E15" s="310" t="s">
        <v>737</v>
      </c>
      <c r="F15" s="311" t="s">
        <v>738</v>
      </c>
      <c r="G15" s="309" t="s">
        <v>740</v>
      </c>
      <c r="H15" s="310" t="s">
        <v>736</v>
      </c>
      <c r="I15" s="310" t="s">
        <v>737</v>
      </c>
      <c r="J15" s="311" t="s">
        <v>738</v>
      </c>
      <c r="K15" s="309" t="s">
        <v>740</v>
      </c>
      <c r="L15" s="310" t="s">
        <v>736</v>
      </c>
      <c r="M15" s="310" t="s">
        <v>737</v>
      </c>
      <c r="N15" s="311" t="s">
        <v>738</v>
      </c>
    </row>
    <row r="16" spans="2:14" s="296" customFormat="1" ht="17.25" customHeight="1">
      <c r="B16" s="296" t="s">
        <v>735</v>
      </c>
      <c r="C16" s="297">
        <v>112</v>
      </c>
      <c r="D16" s="298" t="e">
        <f>#REF!+#REF!+20000+0.43</f>
        <v>#REF!</v>
      </c>
      <c r="E16" s="298" t="e">
        <f>#REF!-20000</f>
        <v>#REF!</v>
      </c>
      <c r="F16" s="299" t="e">
        <f>SUM(D16:E16)</f>
        <v>#REF!</v>
      </c>
      <c r="G16" s="300">
        <v>112</v>
      </c>
      <c r="H16" s="301" t="e">
        <f>#REF!</f>
        <v>#REF!</v>
      </c>
      <c r="I16" s="298" t="e">
        <f>#REF!</f>
        <v>#REF!</v>
      </c>
      <c r="J16" s="299" t="e">
        <f>SUM(H16:I16)</f>
        <v>#REF!</v>
      </c>
      <c r="K16" s="300">
        <v>112</v>
      </c>
      <c r="L16" s="301" t="e">
        <f t="shared" ref="L16:M18" si="0">H16-D16</f>
        <v>#REF!</v>
      </c>
      <c r="M16" s="298" t="e">
        <f t="shared" si="0"/>
        <v>#REF!</v>
      </c>
      <c r="N16" s="299" t="e">
        <f>SUM(L16:M16)</f>
        <v>#REF!</v>
      </c>
    </row>
    <row r="17" spans="3:14" s="296" customFormat="1" ht="17.25" customHeight="1">
      <c r="C17" s="297">
        <v>250</v>
      </c>
      <c r="D17" s="298">
        <v>15643824.999999996</v>
      </c>
      <c r="E17" s="298">
        <v>2760675</v>
      </c>
      <c r="F17" s="299">
        <f>SUM(D17:E17)</f>
        <v>18404499.999999996</v>
      </c>
      <c r="G17" s="300">
        <v>250</v>
      </c>
      <c r="H17" s="301" t="e">
        <f>#REF!</f>
        <v>#REF!</v>
      </c>
      <c r="I17" s="298" t="e">
        <f>#REF!</f>
        <v>#REF!</v>
      </c>
      <c r="J17" s="299" t="e">
        <f>SUM(H17:I17)</f>
        <v>#REF!</v>
      </c>
      <c r="K17" s="300">
        <v>250</v>
      </c>
      <c r="L17" s="301" t="e">
        <f t="shared" si="0"/>
        <v>#REF!</v>
      </c>
      <c r="M17" s="298" t="e">
        <f t="shared" si="0"/>
        <v>#REF!</v>
      </c>
      <c r="N17" s="299" t="e">
        <f>SUM(L17:M17)</f>
        <v>#REF!</v>
      </c>
    </row>
    <row r="18" spans="3:14" s="296" customFormat="1" ht="17.25" customHeight="1">
      <c r="C18" s="297">
        <v>280</v>
      </c>
      <c r="D18" s="298">
        <v>769524</v>
      </c>
      <c r="E18" s="298">
        <v>15704</v>
      </c>
      <c r="F18" s="299">
        <f>SUM(D18:E18)</f>
        <v>785228</v>
      </c>
      <c r="G18" s="300">
        <v>280</v>
      </c>
      <c r="H18" s="301" t="e">
        <f>#REF!</f>
        <v>#REF!</v>
      </c>
      <c r="I18" s="298" t="e">
        <f>#REF!</f>
        <v>#REF!</v>
      </c>
      <c r="J18" s="299" t="e">
        <f>SUM(H18:I18)</f>
        <v>#REF!</v>
      </c>
      <c r="K18" s="300">
        <v>280</v>
      </c>
      <c r="L18" s="301" t="e">
        <f t="shared" si="0"/>
        <v>#REF!</v>
      </c>
      <c r="M18" s="298" t="e">
        <f t="shared" si="0"/>
        <v>#REF!</v>
      </c>
      <c r="N18" s="299" t="e">
        <f>SUM(L18:M18)</f>
        <v>#REF!</v>
      </c>
    </row>
    <row r="19" spans="3:14" s="296" customFormat="1" ht="17.25" customHeight="1">
      <c r="C19" s="297">
        <v>281</v>
      </c>
      <c r="D19" s="298">
        <v>3154319</v>
      </c>
      <c r="E19" s="298">
        <v>556644</v>
      </c>
      <c r="F19" s="299">
        <v>3710963</v>
      </c>
      <c r="G19">
        <v>281</v>
      </c>
      <c r="H19" s="301">
        <v>3259591</v>
      </c>
      <c r="I19" s="298">
        <v>556644</v>
      </c>
      <c r="J19" s="299">
        <v>3816235</v>
      </c>
      <c r="K19">
        <v>281</v>
      </c>
      <c r="L19" s="301">
        <v>105272</v>
      </c>
      <c r="M19" s="298">
        <v>0</v>
      </c>
      <c r="N19" s="299">
        <v>105272</v>
      </c>
    </row>
    <row r="20" spans="3:14" s="296" customFormat="1" ht="17.25" customHeight="1" thickBot="1">
      <c r="C20" s="303" t="s">
        <v>738</v>
      </c>
      <c r="D20" s="304" t="e">
        <f>SUM(D16:D19)</f>
        <v>#REF!</v>
      </c>
      <c r="E20" s="304" t="e">
        <f>SUM(E16:E19)</f>
        <v>#REF!</v>
      </c>
      <c r="F20" s="305" t="e">
        <f>SUM(F16:F19)</f>
        <v>#REF!</v>
      </c>
      <c r="G20" s="303" t="s">
        <v>738</v>
      </c>
      <c r="H20" s="306" t="e">
        <f>SUM(H16:H19)</f>
        <v>#REF!</v>
      </c>
      <c r="I20" s="304" t="e">
        <f>SUM(I16:I19)</f>
        <v>#REF!</v>
      </c>
      <c r="J20" s="305" t="e">
        <f>SUM(J16:J19)</f>
        <v>#REF!</v>
      </c>
      <c r="K20" s="303" t="s">
        <v>738</v>
      </c>
      <c r="L20" s="307" t="e">
        <f>SUM(L16:L19)</f>
        <v>#REF!</v>
      </c>
      <c r="M20" s="308" t="e">
        <f>I20-E20</f>
        <v>#REF!</v>
      </c>
      <c r="N20" s="305" t="e">
        <f>SUM(N16:N19)</f>
        <v>#REF!</v>
      </c>
    </row>
    <row r="22" spans="3:14">
      <c r="F22" s="295">
        <v>132934833</v>
      </c>
    </row>
    <row r="23" spans="3:14" ht="23.25">
      <c r="F23" s="294" t="e">
        <f>F22-F16</f>
        <v>#REF!</v>
      </c>
      <c r="H23" s="1312">
        <v>913192.8</v>
      </c>
      <c r="I23" s="1313"/>
      <c r="J23" s="1314"/>
      <c r="L23" s="294" t="e">
        <f>H23-F23</f>
        <v>#REF!</v>
      </c>
      <c r="M23" s="294"/>
    </row>
    <row r="24" spans="3:14">
      <c r="C24" t="s">
        <v>739</v>
      </c>
      <c r="G24" t="s">
        <v>703</v>
      </c>
      <c r="K24" t="s">
        <v>741</v>
      </c>
    </row>
    <row r="25" spans="3:14">
      <c r="C25" t="s">
        <v>740</v>
      </c>
      <c r="D25" t="s">
        <v>736</v>
      </c>
      <c r="E25" t="s">
        <v>737</v>
      </c>
      <c r="F25" t="s">
        <v>738</v>
      </c>
      <c r="G25" t="s">
        <v>740</v>
      </c>
      <c r="H25" t="s">
        <v>736</v>
      </c>
      <c r="I25" t="s">
        <v>737</v>
      </c>
      <c r="J25" t="s">
        <v>738</v>
      </c>
      <c r="K25" t="s">
        <v>740</v>
      </c>
      <c r="L25" t="s">
        <v>736</v>
      </c>
      <c r="M25" t="s">
        <v>737</v>
      </c>
      <c r="N25" t="s">
        <v>738</v>
      </c>
    </row>
    <row r="26" spans="3:14">
      <c r="C26">
        <v>112</v>
      </c>
      <c r="D26">
        <v>123629574.56999999</v>
      </c>
      <c r="E26">
        <v>8479132</v>
      </c>
      <c r="F26">
        <v>132108706.56999999</v>
      </c>
      <c r="G26">
        <v>112</v>
      </c>
      <c r="H26">
        <v>121455617</v>
      </c>
      <c r="I26">
        <v>8479132</v>
      </c>
      <c r="J26">
        <v>129934749</v>
      </c>
      <c r="K26">
        <v>112</v>
      </c>
      <c r="L26">
        <v>-2173957.5699999928</v>
      </c>
      <c r="M26">
        <v>0</v>
      </c>
      <c r="N26">
        <v>-2173957.5699999928</v>
      </c>
    </row>
    <row r="27" spans="3:14">
      <c r="C27">
        <v>250</v>
      </c>
      <c r="D27">
        <v>15643824.999999996</v>
      </c>
      <c r="E27">
        <v>2760675</v>
      </c>
      <c r="F27">
        <v>18404499.999999996</v>
      </c>
      <c r="G27">
        <v>250</v>
      </c>
      <c r="H27">
        <v>17693631</v>
      </c>
      <c r="I27">
        <v>2760675</v>
      </c>
      <c r="J27">
        <v>20454306</v>
      </c>
      <c r="K27">
        <v>250</v>
      </c>
      <c r="L27">
        <v>2049806.0000000037</v>
      </c>
      <c r="M27">
        <v>0</v>
      </c>
      <c r="N27">
        <v>2049806.0000000037</v>
      </c>
    </row>
    <row r="28" spans="3:14">
      <c r="C28">
        <v>280</v>
      </c>
      <c r="D28">
        <v>769524</v>
      </c>
      <c r="E28">
        <v>15704</v>
      </c>
      <c r="F28">
        <v>785228</v>
      </c>
      <c r="G28">
        <v>280</v>
      </c>
      <c r="H28">
        <v>893675</v>
      </c>
      <c r="I28">
        <v>15704</v>
      </c>
      <c r="J28">
        <v>909379</v>
      </c>
      <c r="K28">
        <v>280</v>
      </c>
      <c r="L28">
        <v>124151</v>
      </c>
      <c r="M28">
        <v>0</v>
      </c>
      <c r="N28">
        <v>124151</v>
      </c>
    </row>
    <row r="29" spans="3:14">
      <c r="C29">
        <v>281</v>
      </c>
      <c r="D29">
        <v>3154319</v>
      </c>
      <c r="E29">
        <v>556644</v>
      </c>
      <c r="F29">
        <v>3710963</v>
      </c>
      <c r="G29">
        <v>281</v>
      </c>
      <c r="H29">
        <v>3259591</v>
      </c>
      <c r="I29">
        <v>556644</v>
      </c>
      <c r="J29">
        <v>3816235</v>
      </c>
      <c r="K29">
        <v>281</v>
      </c>
      <c r="L29">
        <v>105272</v>
      </c>
      <c r="M29">
        <v>0</v>
      </c>
      <c r="N29">
        <v>105272</v>
      </c>
    </row>
    <row r="30" spans="3:14">
      <c r="C30" t="s">
        <v>738</v>
      </c>
      <c r="D30">
        <v>143197242.56999999</v>
      </c>
      <c r="E30">
        <v>11812155</v>
      </c>
      <c r="F30" s="302">
        <v>155009397.56999999</v>
      </c>
      <c r="G30" t="s">
        <v>738</v>
      </c>
      <c r="H30">
        <v>143302514</v>
      </c>
      <c r="I30">
        <v>11812155</v>
      </c>
      <c r="J30">
        <v>155114669</v>
      </c>
      <c r="K30" t="s">
        <v>738</v>
      </c>
      <c r="L30">
        <v>105271.43000001088</v>
      </c>
      <c r="M30">
        <v>0</v>
      </c>
      <c r="N30">
        <v>105271.43000001088</v>
      </c>
    </row>
  </sheetData>
  <mergeCells count="4">
    <mergeCell ref="C14:F14"/>
    <mergeCell ref="G14:J14"/>
    <mergeCell ref="K14:N14"/>
    <mergeCell ref="H23:J2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Plan3"/>
  <dimension ref="A5:L19"/>
  <sheetViews>
    <sheetView workbookViewId="0">
      <selection activeCell="L5" sqref="L5"/>
    </sheetView>
  </sheetViews>
  <sheetFormatPr defaultRowHeight="12.75"/>
  <cols>
    <col min="2" max="2" width="57.140625" customWidth="1"/>
    <col min="5" max="5" width="21.140625" hidden="1" customWidth="1"/>
    <col min="6" max="6" width="24.28515625" hidden="1" customWidth="1"/>
    <col min="7" max="7" width="0" hidden="1" customWidth="1"/>
    <col min="8" max="8" width="21.28515625" hidden="1" customWidth="1"/>
    <col min="9" max="9" width="19.140625" hidden="1" customWidth="1"/>
    <col min="10" max="11" width="23.5703125" bestFit="1" customWidth="1"/>
    <col min="12" max="12" width="20.42578125" bestFit="1" customWidth="1"/>
  </cols>
  <sheetData>
    <row r="5" spans="1:12" ht="51" customHeight="1">
      <c r="A5" s="1302" t="s">
        <v>734</v>
      </c>
      <c r="B5" s="1304"/>
      <c r="C5" s="1302" t="s">
        <v>440</v>
      </c>
      <c r="D5" s="1304"/>
      <c r="E5" s="283"/>
      <c r="F5" s="283"/>
      <c r="G5" s="283"/>
      <c r="H5" s="1303" t="s">
        <v>703</v>
      </c>
      <c r="I5" s="1303"/>
      <c r="J5" s="1303"/>
      <c r="K5" s="281" t="s">
        <v>731</v>
      </c>
      <c r="L5" s="293" t="s">
        <v>732</v>
      </c>
    </row>
    <row r="6" spans="1:12" ht="26.25" customHeight="1">
      <c r="A6" s="1317" t="s">
        <v>729</v>
      </c>
      <c r="B6" s="1318"/>
      <c r="C6" s="1315"/>
      <c r="D6" s="1316"/>
      <c r="E6" s="284"/>
      <c r="F6" s="203"/>
      <c r="G6" s="197"/>
      <c r="H6" s="196">
        <f>SUM(H7:H9)</f>
        <v>21846897</v>
      </c>
      <c r="I6" s="196">
        <f>SUM(I7:I9)</f>
        <v>3333023</v>
      </c>
      <c r="J6" s="208">
        <f>SUM(J7:J9)</f>
        <v>25179920</v>
      </c>
      <c r="K6" s="290">
        <f>SUM(K7:K9)</f>
        <v>22912162</v>
      </c>
      <c r="L6" s="290">
        <f>SUM(L7:L9)</f>
        <v>2267758</v>
      </c>
    </row>
    <row r="7" spans="1:12" ht="51">
      <c r="A7" s="1323" t="s">
        <v>730</v>
      </c>
      <c r="B7" s="1324"/>
      <c r="C7" s="1325">
        <v>250</v>
      </c>
      <c r="D7" s="1326"/>
      <c r="E7" s="285" t="s">
        <v>688</v>
      </c>
      <c r="F7" s="198" t="s">
        <v>201</v>
      </c>
      <c r="G7" s="199"/>
      <c r="H7" s="200">
        <f>16373088+1320543</f>
        <v>17693631</v>
      </c>
      <c r="I7" s="200">
        <v>2760675</v>
      </c>
      <c r="J7" s="287">
        <f>SUM(H7,I7)</f>
        <v>20454306</v>
      </c>
      <c r="K7" s="291">
        <v>18415970</v>
      </c>
      <c r="L7" s="291">
        <f>J7-K7</f>
        <v>2038336</v>
      </c>
    </row>
    <row r="8" spans="1:12" ht="51">
      <c r="A8" s="1323" t="s">
        <v>730</v>
      </c>
      <c r="B8" s="1324"/>
      <c r="C8" s="1325">
        <v>280</v>
      </c>
      <c r="D8" s="1326"/>
      <c r="E8" s="285" t="s">
        <v>688</v>
      </c>
      <c r="F8" s="198" t="s">
        <v>201</v>
      </c>
      <c r="G8" s="199"/>
      <c r="H8" s="200">
        <v>893675</v>
      </c>
      <c r="I8" s="200">
        <v>15704</v>
      </c>
      <c r="J8" s="288">
        <f>SUM(H8,I8)</f>
        <v>909379</v>
      </c>
      <c r="K8" s="291">
        <v>785228</v>
      </c>
      <c r="L8" s="291">
        <f>J8-K8</f>
        <v>124151</v>
      </c>
    </row>
    <row r="9" spans="1:12" ht="51">
      <c r="A9" s="1319" t="s">
        <v>730</v>
      </c>
      <c r="B9" s="1320"/>
      <c r="C9" s="1321">
        <v>281</v>
      </c>
      <c r="D9" s="1322"/>
      <c r="E9" s="286" t="s">
        <v>688</v>
      </c>
      <c r="F9" s="206" t="s">
        <v>201</v>
      </c>
      <c r="G9" s="207"/>
      <c r="H9" s="209">
        <f>3259591</f>
        <v>3259591</v>
      </c>
      <c r="I9" s="209">
        <v>556644</v>
      </c>
      <c r="J9" s="289">
        <f>SUM(H9,I9)</f>
        <v>3816235</v>
      </c>
      <c r="K9" s="291">
        <v>3710964</v>
      </c>
      <c r="L9" s="291">
        <f>J9-K9</f>
        <v>105271</v>
      </c>
    </row>
    <row r="10" spans="1:12" ht="26.25" customHeight="1">
      <c r="A10" s="1317" t="s">
        <v>733</v>
      </c>
      <c r="B10" s="1318"/>
      <c r="C10" s="1315"/>
      <c r="D10" s="1316"/>
      <c r="E10" s="284"/>
      <c r="F10" s="203"/>
      <c r="G10" s="197"/>
      <c r="H10" s="196">
        <f>SUM(H11:H12)</f>
        <v>11470</v>
      </c>
      <c r="I10" s="196">
        <f>SUM(I11:I12)</f>
        <v>0</v>
      </c>
      <c r="J10" s="208">
        <f>SUM(J11:J12)</f>
        <v>129934749</v>
      </c>
      <c r="K10" s="290">
        <f>SUM(K11:K12)</f>
        <v>132108706.56999999</v>
      </c>
      <c r="L10" s="290">
        <f>SUM(L11:L12)</f>
        <v>-2173957.5699999928</v>
      </c>
    </row>
    <row r="11" spans="1:12" ht="59.25" customHeight="1">
      <c r="A11" s="1319" t="s">
        <v>730</v>
      </c>
      <c r="B11" s="1320"/>
      <c r="C11" s="1321">
        <v>112</v>
      </c>
      <c r="D11" s="1322"/>
      <c r="E11" s="285"/>
      <c r="F11" s="198"/>
      <c r="G11" s="202"/>
      <c r="H11" s="209">
        <v>11470</v>
      </c>
      <c r="I11" s="201">
        <f>I111</f>
        <v>0</v>
      </c>
      <c r="J11" s="288">
        <v>129934749</v>
      </c>
      <c r="K11" s="292">
        <v>132108706.56999999</v>
      </c>
      <c r="L11" s="292">
        <f>J11-K11</f>
        <v>-2173957.5699999928</v>
      </c>
    </row>
    <row r="12" spans="1:12" ht="27" customHeight="1"/>
    <row r="19" spans="2:2">
      <c r="B19" s="333"/>
    </row>
  </sheetData>
  <mergeCells count="15">
    <mergeCell ref="A11:B11"/>
    <mergeCell ref="C11:D11"/>
    <mergeCell ref="A10:B10"/>
    <mergeCell ref="C10:D10"/>
    <mergeCell ref="A7:B7"/>
    <mergeCell ref="C7:D7"/>
    <mergeCell ref="A8:B8"/>
    <mergeCell ref="C8:D8"/>
    <mergeCell ref="A9:B9"/>
    <mergeCell ref="C9:D9"/>
    <mergeCell ref="H5:J5"/>
    <mergeCell ref="C6:D6"/>
    <mergeCell ref="A6:B6"/>
    <mergeCell ref="C5:D5"/>
    <mergeCell ref="A5:B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B5:C16"/>
  <sheetViews>
    <sheetView zoomScale="70" zoomScaleNormal="70" workbookViewId="0">
      <selection activeCell="N32" sqref="N32"/>
    </sheetView>
  </sheetViews>
  <sheetFormatPr defaultRowHeight="12.75"/>
  <cols>
    <col min="2" max="2" width="53.42578125" bestFit="1" customWidth="1"/>
    <col min="3" max="3" width="28.5703125" customWidth="1"/>
    <col min="4" max="12" width="9.140625" customWidth="1"/>
  </cols>
  <sheetData>
    <row r="5" spans="2:3" ht="26.25" customHeight="1">
      <c r="B5" s="692" t="s">
        <v>1481</v>
      </c>
      <c r="C5" s="692" t="s">
        <v>1471</v>
      </c>
    </row>
    <row r="6" spans="2:3" ht="15.75">
      <c r="B6" s="690" t="s">
        <v>1480</v>
      </c>
      <c r="C6" s="691" t="e">
        <f>#REF!+#REF!+#REF!+#REF!+#REF!+#REF!+#REF!+#REF!+#REF!+#REF!+#REF!+#REF!+#REF!+#REF!+#REF!+#REF!+#REF!+#REF!+#REF!+#REF!+#REF!+#REF!+#REF!+#REF!+#REF!+#REF!+#REF!+#REF!+#REF!+#REF!+#REF!+#REF!+#REF!+#REF!+#REF!+#REF!+#REF!+#REF!+#REF!</f>
        <v>#REF!</v>
      </c>
    </row>
    <row r="7" spans="2:3" ht="15.75">
      <c r="B7" s="690" t="s">
        <v>1474</v>
      </c>
      <c r="C7" s="691" t="e">
        <f>#REF!</f>
        <v>#REF!</v>
      </c>
    </row>
    <row r="8" spans="2:3" s="689" customFormat="1" ht="15.75">
      <c r="B8" s="690" t="s">
        <v>1485</v>
      </c>
      <c r="C8" s="691" t="e">
        <f>#REF!</f>
        <v>#REF!</v>
      </c>
    </row>
    <row r="9" spans="2:3" ht="15.75">
      <c r="B9" s="690" t="s">
        <v>1473</v>
      </c>
      <c r="C9" s="691" t="e">
        <f>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</row>
    <row r="10" spans="2:3" ht="15.75">
      <c r="B10" s="690" t="s">
        <v>1472</v>
      </c>
      <c r="C10" s="691" t="e">
        <f>#REF!+#REF!+#REF!+#REF!+#REF!+#REF!+#REF!</f>
        <v>#REF!</v>
      </c>
    </row>
    <row r="11" spans="2:3" ht="15.75">
      <c r="B11" s="690" t="s">
        <v>1477</v>
      </c>
      <c r="C11" s="691" t="e">
        <f>#REF!</f>
        <v>#REF!</v>
      </c>
    </row>
    <row r="12" spans="2:3" ht="15.75">
      <c r="B12" s="690" t="s">
        <v>1475</v>
      </c>
      <c r="C12" s="691" t="e">
        <f>#REF!-'iniciativas estratégicas'!C6-'iniciativas estratégicas'!C10-'iniciativas estratégicas'!C9-'iniciativas estratégicas'!C7-'iniciativas estratégicas'!C14-'iniciativas estratégicas'!C11-'iniciativas estratégicas'!C13-'iniciativas estratégicas'!C15-C8</f>
        <v>#REF!</v>
      </c>
    </row>
    <row r="13" spans="2:3" ht="15.75">
      <c r="B13" s="690" t="s">
        <v>1478</v>
      </c>
      <c r="C13" s="691" t="e">
        <f>#REF!+#REF!</f>
        <v>#REF!</v>
      </c>
    </row>
    <row r="14" spans="2:3" ht="15.75">
      <c r="B14" s="690" t="s">
        <v>1476</v>
      </c>
      <c r="C14" s="691" t="e">
        <f>#REF!</f>
        <v>#REF!</v>
      </c>
    </row>
    <row r="15" spans="2:3" ht="15.75">
      <c r="B15" s="690" t="s">
        <v>1479</v>
      </c>
      <c r="C15" s="691" t="e">
        <f>#REF!</f>
        <v>#REF!</v>
      </c>
    </row>
    <row r="16" spans="2:3" ht="20.25">
      <c r="B16" s="694"/>
      <c r="C16" s="693" t="e">
        <f>SUM(C6:C15)</f>
        <v>#REF!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73"/>
  <sheetViews>
    <sheetView showGridLines="0" view="pageBreakPreview" zoomScale="40" zoomScaleNormal="30" zoomScaleSheetLayoutView="40" zoomScalePageLayoutView="25" workbookViewId="0">
      <selection activeCell="F35" sqref="F35"/>
    </sheetView>
  </sheetViews>
  <sheetFormatPr defaultRowHeight="35.1" customHeight="1"/>
  <cols>
    <col min="1" max="1" width="163.5703125" style="41" customWidth="1"/>
    <col min="2" max="2" width="88.42578125" style="41" customWidth="1"/>
    <col min="3" max="3" width="70.140625" style="27" customWidth="1"/>
    <col min="4" max="4" width="70.42578125" style="27" customWidth="1"/>
    <col min="5" max="5" width="26.7109375" style="27" customWidth="1"/>
    <col min="6" max="6" width="42" style="27" customWidth="1"/>
    <col min="7" max="7" width="61.7109375" style="11" customWidth="1"/>
    <col min="8" max="8" width="62.5703125" style="11" customWidth="1"/>
    <col min="9" max="9" width="66.85546875" style="11" customWidth="1"/>
    <col min="10" max="11" width="58.7109375" style="844" bestFit="1" customWidth="1"/>
    <col min="12" max="12" width="9.140625" style="844"/>
    <col min="13" max="13" width="20.5703125" style="844" bestFit="1" customWidth="1"/>
    <col min="14" max="16" width="9.140625" style="844"/>
    <col min="17" max="17" width="16.28515625" style="844" bestFit="1" customWidth="1"/>
    <col min="18" max="26" width="9.140625" style="844"/>
    <col min="27" max="27" width="14.85546875" style="844" bestFit="1" customWidth="1"/>
    <col min="28" max="16384" width="9.140625" style="844"/>
  </cols>
  <sheetData>
    <row r="1" spans="1:9" ht="45">
      <c r="A1" s="979" t="s">
        <v>2493</v>
      </c>
      <c r="B1" s="979"/>
      <c r="C1" s="979"/>
      <c r="D1" s="979"/>
      <c r="E1" s="979"/>
      <c r="F1" s="979"/>
      <c r="G1" s="979"/>
      <c r="H1" s="979"/>
      <c r="I1" s="979"/>
    </row>
    <row r="2" spans="1:9" ht="45">
      <c r="A2" s="979" t="s">
        <v>52</v>
      </c>
      <c r="B2" s="979"/>
      <c r="C2" s="979"/>
      <c r="D2" s="979"/>
      <c r="E2" s="979"/>
      <c r="F2" s="979"/>
      <c r="G2" s="979"/>
      <c r="H2" s="979"/>
      <c r="I2" s="979"/>
    </row>
    <row r="3" spans="1:9" ht="45">
      <c r="A3" s="1040" t="s">
        <v>50</v>
      </c>
      <c r="B3" s="1040"/>
      <c r="C3" s="1040"/>
      <c r="D3" s="1040"/>
      <c r="E3" s="1040"/>
      <c r="F3" s="1040"/>
      <c r="G3" s="1040"/>
      <c r="H3" s="1040"/>
      <c r="I3" s="1040"/>
    </row>
    <row r="4" spans="1:9" ht="44.25">
      <c r="A4" s="736"/>
      <c r="B4" s="736"/>
      <c r="C4" s="736"/>
      <c r="D4" s="736"/>
      <c r="E4" s="736"/>
      <c r="F4" s="736"/>
      <c r="G4" s="838"/>
      <c r="H4" s="838"/>
      <c r="I4" s="838"/>
    </row>
    <row r="5" spans="1:9" ht="45">
      <c r="A5" s="979" t="s">
        <v>1489</v>
      </c>
      <c r="B5" s="979"/>
      <c r="C5" s="979"/>
      <c r="D5" s="979"/>
      <c r="E5" s="979"/>
      <c r="F5" s="979"/>
      <c r="G5" s="979"/>
      <c r="H5" s="979"/>
      <c r="I5" s="979"/>
    </row>
    <row r="6" spans="1:9" ht="20.100000000000001" customHeight="1">
      <c r="A6" s="65"/>
      <c r="B6" s="65"/>
      <c r="C6" s="65"/>
      <c r="D6" s="65"/>
      <c r="E6" s="65"/>
      <c r="F6" s="65"/>
      <c r="G6" s="68"/>
      <c r="H6" s="68"/>
      <c r="I6" s="68"/>
    </row>
    <row r="7" spans="1:9" ht="20.100000000000001" customHeight="1">
      <c r="A7" s="65"/>
      <c r="B7" s="65"/>
      <c r="C7" s="65"/>
      <c r="D7" s="65"/>
      <c r="E7" s="65"/>
      <c r="F7" s="65"/>
      <c r="G7" s="68"/>
      <c r="H7" s="68"/>
      <c r="I7" s="68"/>
    </row>
    <row r="8" spans="1:9" ht="44.25" customHeight="1">
      <c r="A8" s="979"/>
      <c r="B8" s="979"/>
      <c r="C8" s="979"/>
      <c r="D8" s="979"/>
      <c r="E8" s="979"/>
      <c r="F8" s="979"/>
      <c r="G8" s="979"/>
      <c r="H8" s="979"/>
      <c r="I8" s="979"/>
    </row>
    <row r="9" spans="1:9" ht="50.25">
      <c r="A9" s="1029" t="s">
        <v>2486</v>
      </c>
      <c r="B9" s="1029"/>
      <c r="C9" s="1029"/>
      <c r="D9" s="1029"/>
      <c r="E9" s="1029"/>
      <c r="F9" s="1029"/>
      <c r="G9" s="1029"/>
      <c r="H9" s="1029"/>
      <c r="I9" s="1029"/>
    </row>
    <row r="10" spans="1:9" ht="60" customHeight="1">
      <c r="A10" s="1031" t="s">
        <v>183</v>
      </c>
      <c r="B10" s="1031" t="s">
        <v>209</v>
      </c>
      <c r="C10" s="1032"/>
      <c r="D10" s="1033"/>
      <c r="E10" s="1037" t="s">
        <v>1515</v>
      </c>
      <c r="F10" s="1037" t="s">
        <v>16</v>
      </c>
      <c r="G10" s="1039" t="s">
        <v>1490</v>
      </c>
      <c r="H10" s="1039" t="s">
        <v>2454</v>
      </c>
      <c r="I10" s="1037" t="s">
        <v>200</v>
      </c>
    </row>
    <row r="11" spans="1:9" s="845" customFormat="1" ht="71.25" customHeight="1">
      <c r="A11" s="1034"/>
      <c r="B11" s="1034"/>
      <c r="C11" s="1035"/>
      <c r="D11" s="1036"/>
      <c r="E11" s="1038"/>
      <c r="F11" s="1038"/>
      <c r="G11" s="1039"/>
      <c r="H11" s="1039"/>
      <c r="I11" s="1038"/>
    </row>
    <row r="12" spans="1:9" s="845" customFormat="1" ht="49.5" customHeight="1">
      <c r="A12" s="702"/>
      <c r="B12" s="1011" t="s">
        <v>1360</v>
      </c>
      <c r="C12" s="1012"/>
      <c r="D12" s="1013"/>
      <c r="E12" s="785"/>
      <c r="F12" s="710"/>
      <c r="G12" s="695">
        <f>SUM(G13:G20)</f>
        <v>14966905.800000001</v>
      </c>
      <c r="H12" s="695">
        <f>SUM(H13:H20)</f>
        <v>5314247.2</v>
      </c>
      <c r="I12" s="695">
        <f>G12+H12</f>
        <v>20281153</v>
      </c>
    </row>
    <row r="13" spans="1:9" s="845" customFormat="1" ht="42" customHeight="1">
      <c r="A13" s="698" t="s">
        <v>188</v>
      </c>
      <c r="B13" s="1007" t="s">
        <v>474</v>
      </c>
      <c r="C13" s="1007"/>
      <c r="D13" s="1007"/>
      <c r="E13" s="786">
        <v>8100</v>
      </c>
      <c r="F13" s="712">
        <v>169711</v>
      </c>
      <c r="G13" s="697">
        <f>G128</f>
        <v>60000</v>
      </c>
      <c r="H13" s="697">
        <f>H128</f>
        <v>40000</v>
      </c>
      <c r="I13" s="697">
        <f>G13+H13</f>
        <v>100000</v>
      </c>
    </row>
    <row r="14" spans="1:9" s="845" customFormat="1" ht="42" customHeight="1">
      <c r="A14" s="698" t="s">
        <v>2441</v>
      </c>
      <c r="B14" s="1007" t="s">
        <v>2440</v>
      </c>
      <c r="C14" s="1007"/>
      <c r="D14" s="1007"/>
      <c r="E14" s="786">
        <v>8100</v>
      </c>
      <c r="F14" s="712">
        <v>169711</v>
      </c>
      <c r="G14" s="697">
        <f>G130-G15</f>
        <v>5525776.8000000007</v>
      </c>
      <c r="H14" s="697">
        <f>H130-H15</f>
        <v>4837017.2</v>
      </c>
      <c r="I14" s="697">
        <f>G14+H14</f>
        <v>10362794</v>
      </c>
    </row>
    <row r="15" spans="1:9" s="845" customFormat="1" ht="42" customHeight="1">
      <c r="A15" s="698"/>
      <c r="B15" s="1007" t="s">
        <v>2470</v>
      </c>
      <c r="C15" s="1007"/>
      <c r="D15" s="1007"/>
      <c r="E15" s="786"/>
      <c r="F15" s="712"/>
      <c r="G15" s="697">
        <f>G135</f>
        <v>3061740</v>
      </c>
      <c r="H15" s="697">
        <f>H135</f>
        <v>0</v>
      </c>
      <c r="I15" s="697">
        <f>G15+H15</f>
        <v>3061740</v>
      </c>
    </row>
    <row r="16" spans="1:9" s="845" customFormat="1" ht="42" customHeight="1">
      <c r="A16" s="698" t="s">
        <v>193</v>
      </c>
      <c r="B16" s="1007" t="s">
        <v>341</v>
      </c>
      <c r="C16" s="1007"/>
      <c r="D16" s="1007"/>
      <c r="E16" s="786">
        <v>8100</v>
      </c>
      <c r="F16" s="712">
        <v>169707</v>
      </c>
      <c r="G16" s="697">
        <f>G136</f>
        <v>21000</v>
      </c>
      <c r="H16" s="697">
        <f>H136</f>
        <v>14000</v>
      </c>
      <c r="I16" s="697">
        <f t="shared" ref="I16:I81" si="0">G16+H16</f>
        <v>35000</v>
      </c>
    </row>
    <row r="17" spans="1:9" s="845" customFormat="1" ht="42" customHeight="1">
      <c r="A17" s="698" t="s">
        <v>194</v>
      </c>
      <c r="B17" s="1007" t="s">
        <v>3</v>
      </c>
      <c r="C17" s="1007"/>
      <c r="D17" s="1007"/>
      <c r="E17" s="786">
        <v>8100</v>
      </c>
      <c r="F17" s="712">
        <v>169711</v>
      </c>
      <c r="G17" s="697">
        <f>G138</f>
        <v>600000</v>
      </c>
      <c r="H17" s="697">
        <f>H138</f>
        <v>400000</v>
      </c>
      <c r="I17" s="697">
        <f t="shared" si="0"/>
        <v>1000000</v>
      </c>
    </row>
    <row r="18" spans="1:9" s="845" customFormat="1" ht="44.25" customHeight="1">
      <c r="A18" s="698" t="s">
        <v>339</v>
      </c>
      <c r="B18" s="1007" t="s">
        <v>457</v>
      </c>
      <c r="C18" s="1007"/>
      <c r="D18" s="1007"/>
      <c r="E18" s="786">
        <v>8108</v>
      </c>
      <c r="F18" s="794" t="s">
        <v>2444</v>
      </c>
      <c r="G18" s="697">
        <f>G140</f>
        <v>5663258</v>
      </c>
      <c r="H18" s="697">
        <f>H140</f>
        <v>0</v>
      </c>
      <c r="I18" s="697">
        <f t="shared" si="0"/>
        <v>5663258</v>
      </c>
    </row>
    <row r="19" spans="1:9" s="845" customFormat="1" ht="42" customHeight="1">
      <c r="A19" s="698" t="s">
        <v>832</v>
      </c>
      <c r="B19" s="1007" t="s">
        <v>831</v>
      </c>
      <c r="C19" s="1007"/>
      <c r="D19" s="1007"/>
      <c r="E19" s="786">
        <v>8100</v>
      </c>
      <c r="F19" s="794">
        <v>169706</v>
      </c>
      <c r="G19" s="697">
        <f>G143</f>
        <v>33754</v>
      </c>
      <c r="H19" s="697">
        <f>H143</f>
        <v>23230</v>
      </c>
      <c r="I19" s="697">
        <f t="shared" si="0"/>
        <v>56984</v>
      </c>
    </row>
    <row r="20" spans="1:9" s="845" customFormat="1" ht="42" customHeight="1">
      <c r="A20" s="698"/>
      <c r="B20" s="1007" t="s">
        <v>2452</v>
      </c>
      <c r="C20" s="1007"/>
      <c r="D20" s="1007"/>
      <c r="E20" s="786"/>
      <c r="F20" s="804"/>
      <c r="G20" s="697">
        <f>G145</f>
        <v>1377</v>
      </c>
      <c r="H20" s="697">
        <f>H145</f>
        <v>0</v>
      </c>
      <c r="I20" s="697">
        <f>G20+H20</f>
        <v>1377</v>
      </c>
    </row>
    <row r="21" spans="1:9" s="845" customFormat="1" ht="49.5" customHeight="1">
      <c r="A21" s="702"/>
      <c r="B21" s="1011" t="s">
        <v>23</v>
      </c>
      <c r="C21" s="1012"/>
      <c r="D21" s="1013"/>
      <c r="E21" s="750"/>
      <c r="F21" s="751"/>
      <c r="G21" s="695">
        <f>SUM(G22:G23)</f>
        <v>1546887.6</v>
      </c>
      <c r="H21" s="695">
        <f>SUM(H22:H23)</f>
        <v>1031258.4</v>
      </c>
      <c r="I21" s="695">
        <f>G21+H21</f>
        <v>2578146</v>
      </c>
    </row>
    <row r="22" spans="1:9" s="845" customFormat="1" ht="42" customHeight="1">
      <c r="A22" s="698" t="s">
        <v>188</v>
      </c>
      <c r="B22" s="1007" t="s">
        <v>8</v>
      </c>
      <c r="C22" s="1007"/>
      <c r="D22" s="1007"/>
      <c r="E22" s="786">
        <v>8100</v>
      </c>
      <c r="F22" s="712">
        <v>169711</v>
      </c>
      <c r="G22" s="697">
        <f>G167</f>
        <v>46887.600000000006</v>
      </c>
      <c r="H22" s="697">
        <f>H167</f>
        <v>31258.400000000001</v>
      </c>
      <c r="I22" s="697">
        <f t="shared" si="0"/>
        <v>78146</v>
      </c>
    </row>
    <row r="23" spans="1:9" s="845" customFormat="1" ht="42" customHeight="1">
      <c r="A23" s="698" t="s">
        <v>2441</v>
      </c>
      <c r="B23" s="1007" t="s">
        <v>2440</v>
      </c>
      <c r="C23" s="1007"/>
      <c r="D23" s="1007"/>
      <c r="E23" s="786">
        <v>8100</v>
      </c>
      <c r="F23" s="712">
        <v>169711</v>
      </c>
      <c r="G23" s="697">
        <f>G169</f>
        <v>1500000</v>
      </c>
      <c r="H23" s="697">
        <f>H169</f>
        <v>1000000</v>
      </c>
      <c r="I23" s="697">
        <f t="shared" si="0"/>
        <v>2500000</v>
      </c>
    </row>
    <row r="24" spans="1:9" s="845" customFormat="1" ht="49.5" customHeight="1">
      <c r="A24" s="702"/>
      <c r="B24" s="1011" t="s">
        <v>1361</v>
      </c>
      <c r="C24" s="1012"/>
      <c r="D24" s="1013"/>
      <c r="E24" s="750"/>
      <c r="F24" s="751"/>
      <c r="G24" s="695">
        <f>G25</f>
        <v>31881</v>
      </c>
      <c r="H24" s="695">
        <f>H25</f>
        <v>21254</v>
      </c>
      <c r="I24" s="695">
        <f>G24+H24</f>
        <v>53135</v>
      </c>
    </row>
    <row r="25" spans="1:9" s="845" customFormat="1" ht="42" customHeight="1">
      <c r="A25" s="698" t="s">
        <v>188</v>
      </c>
      <c r="B25" s="1007" t="s">
        <v>471</v>
      </c>
      <c r="C25" s="1007"/>
      <c r="D25" s="1007"/>
      <c r="E25" s="786">
        <v>8100</v>
      </c>
      <c r="F25" s="712">
        <v>169711</v>
      </c>
      <c r="G25" s="697">
        <f>G178</f>
        <v>31881</v>
      </c>
      <c r="H25" s="697">
        <f>H178</f>
        <v>21254</v>
      </c>
      <c r="I25" s="697">
        <f t="shared" si="0"/>
        <v>53135</v>
      </c>
    </row>
    <row r="26" spans="1:9" s="845" customFormat="1" ht="49.5" customHeight="1">
      <c r="A26" s="702"/>
      <c r="B26" s="1011" t="s">
        <v>1363</v>
      </c>
      <c r="C26" s="1012"/>
      <c r="D26" s="1013"/>
      <c r="E26" s="750"/>
      <c r="F26" s="751"/>
      <c r="G26" s="695">
        <f>G27</f>
        <v>13755</v>
      </c>
      <c r="H26" s="695">
        <f>H27</f>
        <v>9170</v>
      </c>
      <c r="I26" s="695">
        <f>G26+H26</f>
        <v>22925</v>
      </c>
    </row>
    <row r="27" spans="1:9" s="845" customFormat="1" ht="42" customHeight="1">
      <c r="A27" s="698" t="s">
        <v>188</v>
      </c>
      <c r="B27" s="1007" t="s">
        <v>472</v>
      </c>
      <c r="C27" s="1007"/>
      <c r="D27" s="1007"/>
      <c r="E27" s="786">
        <v>8100</v>
      </c>
      <c r="F27" s="712">
        <v>169711</v>
      </c>
      <c r="G27" s="697">
        <f>G188</f>
        <v>13755</v>
      </c>
      <c r="H27" s="697">
        <f>H188</f>
        <v>9170</v>
      </c>
      <c r="I27" s="697">
        <f t="shared" si="0"/>
        <v>22925</v>
      </c>
    </row>
    <row r="28" spans="1:9" s="845" customFormat="1" ht="49.5" customHeight="1">
      <c r="A28" s="702"/>
      <c r="B28" s="1011" t="s">
        <v>1364</v>
      </c>
      <c r="C28" s="1012"/>
      <c r="D28" s="1013"/>
      <c r="E28" s="750"/>
      <c r="F28" s="751"/>
      <c r="G28" s="695">
        <f>G29</f>
        <v>73504.799999999988</v>
      </c>
      <c r="H28" s="695">
        <f>H29</f>
        <v>49003.199999999997</v>
      </c>
      <c r="I28" s="695">
        <f>G28+H28</f>
        <v>122507.99999999999</v>
      </c>
    </row>
    <row r="29" spans="1:9" s="845" customFormat="1" ht="42" customHeight="1">
      <c r="A29" s="698" t="s">
        <v>188</v>
      </c>
      <c r="B29" s="1007" t="s">
        <v>473</v>
      </c>
      <c r="C29" s="1007"/>
      <c r="D29" s="1007"/>
      <c r="E29" s="786">
        <v>8100</v>
      </c>
      <c r="F29" s="712">
        <v>169711</v>
      </c>
      <c r="G29" s="697">
        <f>G196</f>
        <v>73504.799999999988</v>
      </c>
      <c r="H29" s="697">
        <f>H196</f>
        <v>49003.199999999997</v>
      </c>
      <c r="I29" s="697">
        <f t="shared" si="0"/>
        <v>122507.99999999999</v>
      </c>
    </row>
    <row r="30" spans="1:9" s="845" customFormat="1" ht="49.5" customHeight="1">
      <c r="A30" s="702"/>
      <c r="B30" s="1011" t="s">
        <v>2219</v>
      </c>
      <c r="C30" s="1012"/>
      <c r="D30" s="1013"/>
      <c r="E30" s="750"/>
      <c r="F30" s="751"/>
      <c r="G30" s="695">
        <f>SUM(G31:G36)</f>
        <v>51203551.600000001</v>
      </c>
      <c r="H30" s="695">
        <f>SUM(H31:H36)</f>
        <v>34135230.399999999</v>
      </c>
      <c r="I30" s="695">
        <f t="shared" ref="I30:I37" si="1">G30+H30</f>
        <v>85338782</v>
      </c>
    </row>
    <row r="31" spans="1:9" s="845" customFormat="1" ht="42" customHeight="1">
      <c r="A31" s="698" t="s">
        <v>188</v>
      </c>
      <c r="B31" s="1007" t="s">
        <v>8</v>
      </c>
      <c r="C31" s="1007"/>
      <c r="D31" s="1007"/>
      <c r="E31" s="786">
        <v>8100</v>
      </c>
      <c r="F31" s="712">
        <v>169711</v>
      </c>
      <c r="G31" s="697">
        <f>G220</f>
        <v>50265034.200000003</v>
      </c>
      <c r="H31" s="697">
        <f>H220</f>
        <v>33510022.800000001</v>
      </c>
      <c r="I31" s="697">
        <f t="shared" si="1"/>
        <v>83775057</v>
      </c>
    </row>
    <row r="32" spans="1:9" s="845" customFormat="1" ht="42" customHeight="1">
      <c r="A32" s="698" t="s">
        <v>244</v>
      </c>
      <c r="B32" s="1007" t="s">
        <v>33</v>
      </c>
      <c r="C32" s="1007"/>
      <c r="D32" s="1007"/>
      <c r="E32" s="786">
        <v>8100</v>
      </c>
      <c r="F32" s="712">
        <v>169711</v>
      </c>
      <c r="G32" s="697">
        <f>G250</f>
        <v>843242.4</v>
      </c>
      <c r="H32" s="697">
        <f>H250</f>
        <v>562161.6</v>
      </c>
      <c r="I32" s="697">
        <f t="shared" si="1"/>
        <v>1405404</v>
      </c>
    </row>
    <row r="33" spans="1:9" s="845" customFormat="1" ht="42" customHeight="1">
      <c r="A33" s="698" t="s">
        <v>715</v>
      </c>
      <c r="B33" s="1007" t="s">
        <v>2442</v>
      </c>
      <c r="C33" s="1007"/>
      <c r="D33" s="1007"/>
      <c r="E33" s="786">
        <v>8100</v>
      </c>
      <c r="F33" s="712">
        <v>149343</v>
      </c>
      <c r="G33" s="697">
        <f>G256-G34</f>
        <v>85879</v>
      </c>
      <c r="H33" s="697">
        <f>H256-H34</f>
        <v>59106</v>
      </c>
      <c r="I33" s="697">
        <f t="shared" si="1"/>
        <v>144985</v>
      </c>
    </row>
    <row r="34" spans="1:9" s="845" customFormat="1" ht="42" customHeight="1">
      <c r="A34" s="698" t="s">
        <v>715</v>
      </c>
      <c r="B34" s="1007" t="s">
        <v>2462</v>
      </c>
      <c r="C34" s="1007"/>
      <c r="D34" s="1007"/>
      <c r="E34" s="786"/>
      <c r="F34" s="712"/>
      <c r="G34" s="697">
        <f>G260</f>
        <v>3442</v>
      </c>
      <c r="H34" s="697">
        <f>H260</f>
        <v>0</v>
      </c>
      <c r="I34" s="697">
        <f>G34+H34</f>
        <v>3442</v>
      </c>
    </row>
    <row r="35" spans="1:9" s="845" customFormat="1" ht="42" customHeight="1">
      <c r="A35" s="698" t="s">
        <v>953</v>
      </c>
      <c r="B35" s="1007" t="s">
        <v>955</v>
      </c>
      <c r="C35" s="1007"/>
      <c r="D35" s="1007"/>
      <c r="E35" s="786">
        <v>8100</v>
      </c>
      <c r="F35" s="712">
        <v>138152</v>
      </c>
      <c r="G35" s="697">
        <f>G261-G36</f>
        <v>5725</v>
      </c>
      <c r="H35" s="697">
        <f>H261</f>
        <v>3940</v>
      </c>
      <c r="I35" s="697">
        <f t="shared" si="1"/>
        <v>9665</v>
      </c>
    </row>
    <row r="36" spans="1:9" s="845" customFormat="1" ht="42" customHeight="1">
      <c r="A36" s="698" t="s">
        <v>953</v>
      </c>
      <c r="B36" s="1007" t="s">
        <v>2461</v>
      </c>
      <c r="C36" s="1007"/>
      <c r="D36" s="1007"/>
      <c r="E36" s="786"/>
      <c r="F36" s="712"/>
      <c r="G36" s="697">
        <f>G264</f>
        <v>229</v>
      </c>
      <c r="H36" s="697">
        <f>H264</f>
        <v>0</v>
      </c>
      <c r="I36" s="697">
        <f>G36+H36</f>
        <v>229</v>
      </c>
    </row>
    <row r="37" spans="1:9" s="845" customFormat="1" ht="49.5" customHeight="1">
      <c r="A37" s="702"/>
      <c r="B37" s="1011" t="s">
        <v>191</v>
      </c>
      <c r="C37" s="1012"/>
      <c r="D37" s="1013"/>
      <c r="E37" s="750"/>
      <c r="F37" s="751"/>
      <c r="G37" s="695">
        <f>SUM(G38:G39)</f>
        <v>423628.2</v>
      </c>
      <c r="H37" s="695">
        <f>SUM(H38:H39)</f>
        <v>282418.8</v>
      </c>
      <c r="I37" s="695">
        <f t="shared" si="1"/>
        <v>706047</v>
      </c>
    </row>
    <row r="38" spans="1:9" s="845" customFormat="1" ht="42" customHeight="1">
      <c r="A38" s="698" t="s">
        <v>188</v>
      </c>
      <c r="B38" s="1007" t="s">
        <v>8</v>
      </c>
      <c r="C38" s="1007"/>
      <c r="D38" s="1007"/>
      <c r="E38" s="786">
        <v>8100</v>
      </c>
      <c r="F38" s="712">
        <v>169711</v>
      </c>
      <c r="G38" s="697">
        <f>G280</f>
        <v>351628.2</v>
      </c>
      <c r="H38" s="697">
        <f>H280</f>
        <v>234418.8</v>
      </c>
      <c r="I38" s="697">
        <f t="shared" si="0"/>
        <v>586047</v>
      </c>
    </row>
    <row r="39" spans="1:9" s="845" customFormat="1" ht="42" customHeight="1">
      <c r="A39" s="698" t="s">
        <v>193</v>
      </c>
      <c r="B39" s="1007" t="s">
        <v>341</v>
      </c>
      <c r="C39" s="1007"/>
      <c r="D39" s="1007"/>
      <c r="E39" s="786">
        <v>8100</v>
      </c>
      <c r="F39" s="712">
        <v>169707</v>
      </c>
      <c r="G39" s="697">
        <f>G283</f>
        <v>72000</v>
      </c>
      <c r="H39" s="697">
        <f>H283</f>
        <v>48000</v>
      </c>
      <c r="I39" s="697">
        <f t="shared" si="0"/>
        <v>120000</v>
      </c>
    </row>
    <row r="40" spans="1:9" s="845" customFormat="1" ht="49.5" customHeight="1">
      <c r="A40" s="702"/>
      <c r="B40" s="1011" t="s">
        <v>64</v>
      </c>
      <c r="C40" s="1012"/>
      <c r="D40" s="1013"/>
      <c r="E40" s="750"/>
      <c r="F40" s="751"/>
      <c r="G40" s="695">
        <f>SUM(G41:G42)</f>
        <v>276000</v>
      </c>
      <c r="H40" s="695">
        <f>SUM(H41:H42)</f>
        <v>184000</v>
      </c>
      <c r="I40" s="695">
        <f>G40+H40</f>
        <v>460000</v>
      </c>
    </row>
    <row r="41" spans="1:9" s="845" customFormat="1" ht="42" customHeight="1">
      <c r="A41" s="698" t="s">
        <v>188</v>
      </c>
      <c r="B41" s="1007" t="s">
        <v>8</v>
      </c>
      <c r="C41" s="1007"/>
      <c r="D41" s="1007"/>
      <c r="E41" s="786">
        <v>8100</v>
      </c>
      <c r="F41" s="712">
        <v>169711</v>
      </c>
      <c r="G41" s="697">
        <f>G297</f>
        <v>252000</v>
      </c>
      <c r="H41" s="697">
        <f>H297</f>
        <v>168000</v>
      </c>
      <c r="I41" s="697">
        <f t="shared" si="0"/>
        <v>420000</v>
      </c>
    </row>
    <row r="42" spans="1:9" s="845" customFormat="1" ht="42" customHeight="1">
      <c r="A42" s="698" t="s">
        <v>193</v>
      </c>
      <c r="B42" s="1007" t="s">
        <v>341</v>
      </c>
      <c r="C42" s="1007"/>
      <c r="D42" s="1007"/>
      <c r="E42" s="786">
        <v>8100</v>
      </c>
      <c r="F42" s="712">
        <v>169707</v>
      </c>
      <c r="G42" s="697">
        <f>G303</f>
        <v>24000</v>
      </c>
      <c r="H42" s="697">
        <f>H303</f>
        <v>16000</v>
      </c>
      <c r="I42" s="697">
        <f t="shared" si="0"/>
        <v>40000</v>
      </c>
    </row>
    <row r="43" spans="1:9" s="845" customFormat="1" ht="49.5" customHeight="1">
      <c r="A43" s="702"/>
      <c r="B43" s="1011" t="s">
        <v>0</v>
      </c>
      <c r="C43" s="1012"/>
      <c r="D43" s="1013"/>
      <c r="E43" s="750"/>
      <c r="F43" s="751"/>
      <c r="G43" s="695">
        <f>SUM(G44:G48)</f>
        <v>720083.2</v>
      </c>
      <c r="H43" s="695">
        <f>SUM(H44:H48)</f>
        <v>475253.8</v>
      </c>
      <c r="I43" s="695">
        <f>G43+H43</f>
        <v>1195337</v>
      </c>
    </row>
    <row r="44" spans="1:9" s="845" customFormat="1" ht="42" customHeight="1">
      <c r="A44" s="698" t="s">
        <v>188</v>
      </c>
      <c r="B44" s="1007" t="s">
        <v>8</v>
      </c>
      <c r="C44" s="1007"/>
      <c r="D44" s="1007"/>
      <c r="E44" s="786">
        <v>8100</v>
      </c>
      <c r="F44" s="712">
        <v>169711</v>
      </c>
      <c r="G44" s="697">
        <f>G324</f>
        <v>237000</v>
      </c>
      <c r="H44" s="697">
        <f>H324</f>
        <v>158000</v>
      </c>
      <c r="I44" s="697">
        <f t="shared" si="0"/>
        <v>395000</v>
      </c>
    </row>
    <row r="45" spans="1:9" s="845" customFormat="1" ht="42" customHeight="1">
      <c r="A45" s="698" t="s">
        <v>2441</v>
      </c>
      <c r="B45" s="1007" t="s">
        <v>2440</v>
      </c>
      <c r="C45" s="1007"/>
      <c r="D45" s="1007"/>
      <c r="E45" s="786">
        <v>8100</v>
      </c>
      <c r="F45" s="712">
        <v>169711</v>
      </c>
      <c r="G45" s="697">
        <f>G331</f>
        <v>34455.600000000006</v>
      </c>
      <c r="H45" s="697">
        <f>H331</f>
        <v>22970.400000000001</v>
      </c>
      <c r="I45" s="697">
        <f>G45+H45</f>
        <v>57426.000000000007</v>
      </c>
    </row>
    <row r="46" spans="1:9" s="845" customFormat="1" ht="42" customHeight="1">
      <c r="A46" s="698" t="s">
        <v>193</v>
      </c>
      <c r="B46" s="1007" t="s">
        <v>197</v>
      </c>
      <c r="C46" s="1007"/>
      <c r="D46" s="1007"/>
      <c r="E46" s="786">
        <v>8100</v>
      </c>
      <c r="F46" s="712">
        <v>169707</v>
      </c>
      <c r="G46" s="697">
        <f>G333-G47</f>
        <v>321218.59999999998</v>
      </c>
      <c r="H46" s="697">
        <f>H333-H47</f>
        <v>234283.4</v>
      </c>
      <c r="I46" s="697">
        <f t="shared" si="0"/>
        <v>555502</v>
      </c>
    </row>
    <row r="47" spans="1:9" s="845" customFormat="1" ht="42" customHeight="1">
      <c r="A47" s="698"/>
      <c r="B47" s="1007" t="s">
        <v>2460</v>
      </c>
      <c r="C47" s="1007"/>
      <c r="D47" s="1007"/>
      <c r="E47" s="786"/>
      <c r="F47" s="804"/>
      <c r="G47" s="697">
        <f>G340</f>
        <v>37409</v>
      </c>
      <c r="H47" s="697">
        <f>H340</f>
        <v>0</v>
      </c>
      <c r="I47" s="697">
        <f t="shared" si="0"/>
        <v>37409</v>
      </c>
    </row>
    <row r="48" spans="1:9" s="845" customFormat="1" ht="42" customHeight="1">
      <c r="A48" s="698" t="s">
        <v>244</v>
      </c>
      <c r="B48" s="1007" t="s">
        <v>33</v>
      </c>
      <c r="C48" s="1007"/>
      <c r="D48" s="1007"/>
      <c r="E48" s="786">
        <v>8100</v>
      </c>
      <c r="F48" s="712">
        <v>169711</v>
      </c>
      <c r="G48" s="697">
        <f>G341</f>
        <v>90000</v>
      </c>
      <c r="H48" s="697">
        <f>H341</f>
        <v>60000</v>
      </c>
      <c r="I48" s="697">
        <f>G48+H48</f>
        <v>150000</v>
      </c>
    </row>
    <row r="49" spans="1:9" s="845" customFormat="1" ht="49.5" customHeight="1">
      <c r="A49" s="702"/>
      <c r="B49" s="1011" t="s">
        <v>190</v>
      </c>
      <c r="C49" s="1012"/>
      <c r="D49" s="1013"/>
      <c r="E49" s="750"/>
      <c r="F49" s="751"/>
      <c r="G49" s="695">
        <f>SUM(G50:G54)</f>
        <v>2964277.8</v>
      </c>
      <c r="H49" s="695">
        <f>SUM(H50:H54)</f>
        <v>1976185.2</v>
      </c>
      <c r="I49" s="695">
        <f>G49+H49</f>
        <v>4940463</v>
      </c>
    </row>
    <row r="50" spans="1:9" s="845" customFormat="1" ht="42" customHeight="1">
      <c r="A50" s="698" t="s">
        <v>188</v>
      </c>
      <c r="B50" s="1007" t="s">
        <v>8</v>
      </c>
      <c r="C50" s="1007"/>
      <c r="D50" s="1007"/>
      <c r="E50" s="786">
        <v>8100</v>
      </c>
      <c r="F50" s="712">
        <v>169711</v>
      </c>
      <c r="G50" s="697">
        <f>G359</f>
        <v>143089.79999999999</v>
      </c>
      <c r="H50" s="697">
        <f>H359</f>
        <v>95393.2</v>
      </c>
      <c r="I50" s="697">
        <f>G50+H50</f>
        <v>238483</v>
      </c>
    </row>
    <row r="51" spans="1:9" s="845" customFormat="1" ht="42" customHeight="1">
      <c r="A51" s="698" t="s">
        <v>202</v>
      </c>
      <c r="B51" s="1007" t="s">
        <v>6</v>
      </c>
      <c r="C51" s="1007"/>
      <c r="D51" s="1007"/>
      <c r="E51" s="786">
        <v>8100</v>
      </c>
      <c r="F51" s="712">
        <v>169711</v>
      </c>
      <c r="G51" s="697">
        <f>G361</f>
        <v>1365799.2</v>
      </c>
      <c r="H51" s="697">
        <f>H361</f>
        <v>910532.8</v>
      </c>
      <c r="I51" s="697">
        <f t="shared" si="0"/>
        <v>2276332</v>
      </c>
    </row>
    <row r="52" spans="1:9" s="845" customFormat="1" ht="42" customHeight="1">
      <c r="A52" s="698" t="s">
        <v>2441</v>
      </c>
      <c r="B52" s="1007" t="s">
        <v>2440</v>
      </c>
      <c r="C52" s="1007"/>
      <c r="D52" s="1007"/>
      <c r="E52" s="786">
        <v>8100</v>
      </c>
      <c r="F52" s="712">
        <v>169711</v>
      </c>
      <c r="G52" s="697">
        <f>G372</f>
        <v>1200000</v>
      </c>
      <c r="H52" s="697">
        <f>H372</f>
        <v>800000</v>
      </c>
      <c r="I52" s="697">
        <f t="shared" si="0"/>
        <v>2000000</v>
      </c>
    </row>
    <row r="53" spans="1:9" s="845" customFormat="1" ht="42" customHeight="1">
      <c r="A53" s="698" t="s">
        <v>193</v>
      </c>
      <c r="B53" s="1007" t="s">
        <v>197</v>
      </c>
      <c r="C53" s="1007"/>
      <c r="D53" s="1007"/>
      <c r="E53" s="786">
        <v>8100</v>
      </c>
      <c r="F53" s="712">
        <v>169707</v>
      </c>
      <c r="G53" s="697">
        <f>G374</f>
        <v>48000</v>
      </c>
      <c r="H53" s="697">
        <f>H374</f>
        <v>32000</v>
      </c>
      <c r="I53" s="697">
        <f t="shared" si="0"/>
        <v>80000</v>
      </c>
    </row>
    <row r="54" spans="1:9" s="845" customFormat="1" ht="42" customHeight="1">
      <c r="A54" s="698" t="s">
        <v>721</v>
      </c>
      <c r="B54" s="1007" t="s">
        <v>722</v>
      </c>
      <c r="C54" s="1007"/>
      <c r="D54" s="1007"/>
      <c r="E54" s="786">
        <v>8100</v>
      </c>
      <c r="F54" s="712">
        <v>169717</v>
      </c>
      <c r="G54" s="697">
        <f>G380</f>
        <v>207388.80000000002</v>
      </c>
      <c r="H54" s="697">
        <f>H380</f>
        <v>138259.20000000001</v>
      </c>
      <c r="I54" s="697">
        <f t="shared" si="0"/>
        <v>345648</v>
      </c>
    </row>
    <row r="55" spans="1:9" s="845" customFormat="1" ht="49.5" customHeight="1">
      <c r="A55" s="702"/>
      <c r="B55" s="1011" t="s">
        <v>5</v>
      </c>
      <c r="C55" s="1012"/>
      <c r="D55" s="1013"/>
      <c r="E55" s="750"/>
      <c r="F55" s="751"/>
      <c r="G55" s="695">
        <f>SUM(G56:G57)</f>
        <v>189076.8</v>
      </c>
      <c r="H55" s="695">
        <f>SUM(H56:H57)</f>
        <v>126051.20000000001</v>
      </c>
      <c r="I55" s="695">
        <f>G55+H55</f>
        <v>315128</v>
      </c>
    </row>
    <row r="56" spans="1:9" s="845" customFormat="1" ht="42" customHeight="1">
      <c r="A56" s="698" t="s">
        <v>188</v>
      </c>
      <c r="B56" s="1007" t="s">
        <v>8</v>
      </c>
      <c r="C56" s="1007"/>
      <c r="D56" s="1007"/>
      <c r="E56" s="786">
        <v>8100</v>
      </c>
      <c r="F56" s="712">
        <v>169711</v>
      </c>
      <c r="G56" s="697">
        <f>G397</f>
        <v>92577.600000000006</v>
      </c>
      <c r="H56" s="697">
        <f>H397</f>
        <v>61718.400000000001</v>
      </c>
      <c r="I56" s="697">
        <f t="shared" si="0"/>
        <v>154296</v>
      </c>
    </row>
    <row r="57" spans="1:9" s="845" customFormat="1" ht="42" customHeight="1">
      <c r="A57" s="698" t="s">
        <v>193</v>
      </c>
      <c r="B57" s="1007" t="s">
        <v>197</v>
      </c>
      <c r="C57" s="1007"/>
      <c r="D57" s="1007"/>
      <c r="E57" s="786">
        <v>8100</v>
      </c>
      <c r="F57" s="712">
        <v>169707</v>
      </c>
      <c r="G57" s="697">
        <f>G403</f>
        <v>96499.199999999997</v>
      </c>
      <c r="H57" s="697">
        <f>H403</f>
        <v>64332.800000000003</v>
      </c>
      <c r="I57" s="697">
        <f t="shared" si="0"/>
        <v>160832</v>
      </c>
    </row>
    <row r="58" spans="1:9" ht="45">
      <c r="A58" s="979" t="s">
        <v>2493</v>
      </c>
      <c r="B58" s="979"/>
      <c r="C58" s="979"/>
      <c r="D58" s="979"/>
      <c r="E58" s="979"/>
      <c r="F58" s="979"/>
      <c r="G58" s="979"/>
      <c r="H58" s="979"/>
      <c r="I58" s="979"/>
    </row>
    <row r="59" spans="1:9" ht="45">
      <c r="A59" s="979" t="s">
        <v>52</v>
      </c>
      <c r="B59" s="979"/>
      <c r="C59" s="979"/>
      <c r="D59" s="979"/>
      <c r="E59" s="979"/>
      <c r="F59" s="979"/>
      <c r="G59" s="979"/>
      <c r="H59" s="979"/>
      <c r="I59" s="979"/>
    </row>
    <row r="60" spans="1:9" ht="45">
      <c r="A60" s="1040" t="s">
        <v>50</v>
      </c>
      <c r="B60" s="1040"/>
      <c r="C60" s="1040"/>
      <c r="D60" s="1040"/>
      <c r="E60" s="1040"/>
      <c r="F60" s="1040"/>
      <c r="G60" s="1040"/>
      <c r="H60" s="1040"/>
      <c r="I60" s="1040"/>
    </row>
    <row r="61" spans="1:9" ht="44.25">
      <c r="A61" s="736"/>
      <c r="B61" s="736"/>
      <c r="C61" s="736"/>
      <c r="D61" s="736"/>
      <c r="E61" s="736"/>
      <c r="F61" s="736"/>
      <c r="G61" s="838"/>
      <c r="H61" s="838"/>
      <c r="I61" s="838"/>
    </row>
    <row r="62" spans="1:9" ht="45">
      <c r="A62" s="979" t="s">
        <v>1489</v>
      </c>
      <c r="B62" s="979"/>
      <c r="C62" s="979"/>
      <c r="D62" s="979"/>
      <c r="E62" s="979"/>
      <c r="F62" s="979"/>
      <c r="G62" s="979"/>
      <c r="H62" s="979"/>
      <c r="I62" s="979"/>
    </row>
    <row r="63" spans="1:9" ht="20.100000000000001" customHeight="1">
      <c r="A63" s="65"/>
      <c r="B63" s="65"/>
      <c r="C63" s="65"/>
      <c r="D63" s="65"/>
      <c r="E63" s="65"/>
      <c r="F63" s="65"/>
      <c r="G63" s="68"/>
      <c r="H63" s="68"/>
      <c r="I63" s="68"/>
    </row>
    <row r="64" spans="1:9" ht="20.100000000000001" customHeight="1">
      <c r="A64" s="65"/>
      <c r="B64" s="65"/>
      <c r="C64" s="65"/>
      <c r="D64" s="65"/>
      <c r="E64" s="65"/>
      <c r="F64" s="65"/>
      <c r="G64" s="68"/>
      <c r="H64" s="68"/>
      <c r="I64" s="68"/>
    </row>
    <row r="65" spans="1:9" ht="44.25" customHeight="1">
      <c r="A65" s="979"/>
      <c r="B65" s="979"/>
      <c r="C65" s="979"/>
      <c r="D65" s="979"/>
      <c r="E65" s="979"/>
      <c r="F65" s="979"/>
      <c r="G65" s="979"/>
      <c r="H65" s="979"/>
      <c r="I65" s="979"/>
    </row>
    <row r="66" spans="1:9" ht="50.25">
      <c r="A66" s="1029" t="s">
        <v>2486</v>
      </c>
      <c r="B66" s="1029"/>
      <c r="C66" s="1029"/>
      <c r="D66" s="1029"/>
      <c r="E66" s="1029"/>
      <c r="F66" s="1029"/>
      <c r="G66" s="1029"/>
      <c r="H66" s="1029"/>
      <c r="I66" s="1029"/>
    </row>
    <row r="67" spans="1:9" ht="60" customHeight="1">
      <c r="A67" s="1031" t="s">
        <v>183</v>
      </c>
      <c r="B67" s="1031" t="s">
        <v>209</v>
      </c>
      <c r="C67" s="1032"/>
      <c r="D67" s="1033"/>
      <c r="E67" s="1037" t="s">
        <v>1515</v>
      </c>
      <c r="F67" s="1037" t="s">
        <v>16</v>
      </c>
      <c r="G67" s="1039" t="s">
        <v>1490</v>
      </c>
      <c r="H67" s="1039" t="s">
        <v>2454</v>
      </c>
      <c r="I67" s="1037" t="s">
        <v>200</v>
      </c>
    </row>
    <row r="68" spans="1:9" s="845" customFormat="1" ht="71.25" customHeight="1">
      <c r="A68" s="1034"/>
      <c r="B68" s="1034"/>
      <c r="C68" s="1035"/>
      <c r="D68" s="1036"/>
      <c r="E68" s="1038"/>
      <c r="F68" s="1038"/>
      <c r="G68" s="1039"/>
      <c r="H68" s="1039"/>
      <c r="I68" s="1038"/>
    </row>
    <row r="69" spans="1:9" s="845" customFormat="1" ht="49.5" customHeight="1">
      <c r="A69" s="702"/>
      <c r="B69" s="1011" t="s">
        <v>195</v>
      </c>
      <c r="C69" s="1012"/>
      <c r="D69" s="1013"/>
      <c r="E69" s="750"/>
      <c r="F69" s="751"/>
      <c r="G69" s="695">
        <f>SUM(G70:G75)</f>
        <v>5160120</v>
      </c>
      <c r="H69" s="695">
        <f>SUM(H70:H75)</f>
        <v>3440080</v>
      </c>
      <c r="I69" s="695">
        <f>G69+H69</f>
        <v>8600200</v>
      </c>
    </row>
    <row r="70" spans="1:9" s="845" customFormat="1" ht="42" customHeight="1">
      <c r="A70" s="698" t="s">
        <v>188</v>
      </c>
      <c r="B70" s="1007" t="s">
        <v>8</v>
      </c>
      <c r="C70" s="1007"/>
      <c r="D70" s="1007"/>
      <c r="E70" s="786">
        <v>8100</v>
      </c>
      <c r="F70" s="712">
        <v>169711</v>
      </c>
      <c r="G70" s="697">
        <f>G424</f>
        <v>113520</v>
      </c>
      <c r="H70" s="697">
        <f>H424</f>
        <v>75680</v>
      </c>
      <c r="I70" s="697">
        <f t="shared" si="0"/>
        <v>189200</v>
      </c>
    </row>
    <row r="71" spans="1:9" s="845" customFormat="1" ht="42" customHeight="1">
      <c r="A71" s="698" t="s">
        <v>1</v>
      </c>
      <c r="B71" s="1007" t="s">
        <v>342</v>
      </c>
      <c r="C71" s="1007"/>
      <c r="D71" s="1007"/>
      <c r="E71" s="786">
        <v>8100</v>
      </c>
      <c r="F71" s="712">
        <v>169711</v>
      </c>
      <c r="G71" s="697">
        <f>G426</f>
        <v>1230000</v>
      </c>
      <c r="H71" s="697">
        <f>H426</f>
        <v>820000</v>
      </c>
      <c r="I71" s="697">
        <f t="shared" si="0"/>
        <v>2050000</v>
      </c>
    </row>
    <row r="72" spans="1:9" s="845" customFormat="1" ht="42" customHeight="1">
      <c r="A72" s="698" t="s">
        <v>2441</v>
      </c>
      <c r="B72" s="1007" t="s">
        <v>2440</v>
      </c>
      <c r="C72" s="1007"/>
      <c r="D72" s="1007"/>
      <c r="E72" s="786">
        <v>8100</v>
      </c>
      <c r="F72" s="712">
        <v>169711</v>
      </c>
      <c r="G72" s="697">
        <f>G434</f>
        <v>816000</v>
      </c>
      <c r="H72" s="697">
        <f>H434</f>
        <v>544000</v>
      </c>
      <c r="I72" s="697">
        <f>G72+H72</f>
        <v>1360000</v>
      </c>
    </row>
    <row r="73" spans="1:9" s="845" customFormat="1" ht="42" customHeight="1">
      <c r="A73" s="698" t="s">
        <v>193</v>
      </c>
      <c r="B73" s="1007" t="s">
        <v>197</v>
      </c>
      <c r="C73" s="1007"/>
      <c r="D73" s="1007"/>
      <c r="E73" s="786">
        <v>8100</v>
      </c>
      <c r="F73" s="712">
        <v>169707</v>
      </c>
      <c r="G73" s="697">
        <f>G437</f>
        <v>30000</v>
      </c>
      <c r="H73" s="697">
        <f>H437</f>
        <v>20000</v>
      </c>
      <c r="I73" s="697">
        <f t="shared" si="0"/>
        <v>50000</v>
      </c>
    </row>
    <row r="74" spans="1:9" s="845" customFormat="1" ht="42" customHeight="1">
      <c r="A74" s="698" t="s">
        <v>9</v>
      </c>
      <c r="B74" s="1007" t="s">
        <v>269</v>
      </c>
      <c r="C74" s="1007"/>
      <c r="D74" s="1007"/>
      <c r="E74" s="786">
        <v>8100</v>
      </c>
      <c r="F74" s="712">
        <v>169711</v>
      </c>
      <c r="G74" s="697">
        <f>G439</f>
        <v>2652600</v>
      </c>
      <c r="H74" s="697">
        <f>H439</f>
        <v>1768400</v>
      </c>
      <c r="I74" s="697">
        <f t="shared" si="0"/>
        <v>4421000</v>
      </c>
    </row>
    <row r="75" spans="1:9" s="845" customFormat="1" ht="42" customHeight="1">
      <c r="A75" s="698" t="s">
        <v>721</v>
      </c>
      <c r="B75" s="1007" t="s">
        <v>722</v>
      </c>
      <c r="C75" s="1007"/>
      <c r="D75" s="1007"/>
      <c r="E75" s="786">
        <v>8100</v>
      </c>
      <c r="F75" s="712">
        <v>169717</v>
      </c>
      <c r="G75" s="697">
        <f>G449</f>
        <v>318000</v>
      </c>
      <c r="H75" s="697">
        <f>H449</f>
        <v>212000</v>
      </c>
      <c r="I75" s="697">
        <f t="shared" si="0"/>
        <v>530000</v>
      </c>
    </row>
    <row r="76" spans="1:9" s="845" customFormat="1" ht="49.5" customHeight="1">
      <c r="A76" s="702"/>
      <c r="B76" s="1011" t="s">
        <v>184</v>
      </c>
      <c r="C76" s="1012"/>
      <c r="D76" s="1013"/>
      <c r="E76" s="750"/>
      <c r="F76" s="751"/>
      <c r="G76" s="695">
        <f>SUM(G77:G81)</f>
        <v>3134758.8</v>
      </c>
      <c r="H76" s="695">
        <f>SUM(H77:H81)</f>
        <v>2089839.2000000002</v>
      </c>
      <c r="I76" s="695">
        <f>G76+H76</f>
        <v>5224598</v>
      </c>
    </row>
    <row r="77" spans="1:9" s="845" customFormat="1" ht="42" customHeight="1">
      <c r="A77" s="698" t="s">
        <v>188</v>
      </c>
      <c r="B77" s="1007" t="s">
        <v>8</v>
      </c>
      <c r="C77" s="1007"/>
      <c r="D77" s="1007"/>
      <c r="E77" s="786">
        <v>8100</v>
      </c>
      <c r="F77" s="712">
        <v>169711</v>
      </c>
      <c r="G77" s="697">
        <f>G465</f>
        <v>37678.199999999997</v>
      </c>
      <c r="H77" s="697">
        <f>H465</f>
        <v>25118.799999999999</v>
      </c>
      <c r="I77" s="697">
        <f t="shared" si="0"/>
        <v>62797</v>
      </c>
    </row>
    <row r="78" spans="1:9" s="845" customFormat="1" ht="42" customHeight="1">
      <c r="A78" s="698" t="s">
        <v>208</v>
      </c>
      <c r="B78" s="1007" t="s">
        <v>132</v>
      </c>
      <c r="C78" s="1007"/>
      <c r="D78" s="1007"/>
      <c r="E78" s="786">
        <v>8100</v>
      </c>
      <c r="F78" s="712">
        <v>169711</v>
      </c>
      <c r="G78" s="697">
        <f>G467</f>
        <v>1218000</v>
      </c>
      <c r="H78" s="697">
        <f>H467</f>
        <v>812000</v>
      </c>
      <c r="I78" s="697">
        <f t="shared" si="0"/>
        <v>2030000</v>
      </c>
    </row>
    <row r="79" spans="1:9" s="845" customFormat="1" ht="42" customHeight="1">
      <c r="A79" s="698" t="s">
        <v>193</v>
      </c>
      <c r="B79" s="1007" t="s">
        <v>197</v>
      </c>
      <c r="C79" s="1007"/>
      <c r="D79" s="1007"/>
      <c r="E79" s="786">
        <v>8100</v>
      </c>
      <c r="F79" s="712">
        <v>169707</v>
      </c>
      <c r="G79" s="697">
        <f>G480</f>
        <v>12000</v>
      </c>
      <c r="H79" s="697">
        <f>H480</f>
        <v>8000</v>
      </c>
      <c r="I79" s="697">
        <f t="shared" si="0"/>
        <v>20000</v>
      </c>
    </row>
    <row r="80" spans="1:9" s="845" customFormat="1" ht="42" customHeight="1">
      <c r="A80" s="698" t="s">
        <v>340</v>
      </c>
      <c r="B80" s="1007" t="s">
        <v>157</v>
      </c>
      <c r="C80" s="1007"/>
      <c r="D80" s="1007"/>
      <c r="E80" s="786">
        <v>8100</v>
      </c>
      <c r="F80" s="712">
        <v>169712</v>
      </c>
      <c r="G80" s="697">
        <f>G482</f>
        <v>351000</v>
      </c>
      <c r="H80" s="697">
        <f>H482</f>
        <v>234000</v>
      </c>
      <c r="I80" s="697">
        <f t="shared" si="0"/>
        <v>585000</v>
      </c>
    </row>
    <row r="81" spans="1:9" s="845" customFormat="1" ht="42" customHeight="1">
      <c r="A81" s="698" t="s">
        <v>721</v>
      </c>
      <c r="B81" s="1007" t="s">
        <v>722</v>
      </c>
      <c r="C81" s="1007"/>
      <c r="D81" s="1007"/>
      <c r="E81" s="786">
        <v>8100</v>
      </c>
      <c r="F81" s="712">
        <v>169717</v>
      </c>
      <c r="G81" s="697">
        <f>G489</f>
        <v>1516080.6</v>
      </c>
      <c r="H81" s="697">
        <f>H489</f>
        <v>1010720.4</v>
      </c>
      <c r="I81" s="697">
        <f t="shared" si="0"/>
        <v>2526801</v>
      </c>
    </row>
    <row r="82" spans="1:9" s="845" customFormat="1" ht="49.5" customHeight="1">
      <c r="A82" s="702"/>
      <c r="B82" s="1011" t="s">
        <v>211</v>
      </c>
      <c r="C82" s="1012"/>
      <c r="D82" s="1013"/>
      <c r="E82" s="750"/>
      <c r="F82" s="751"/>
      <c r="G82" s="695">
        <f>SUM(G83:G87)</f>
        <v>303559.59999999998</v>
      </c>
      <c r="H82" s="695">
        <f>SUM(H83:H87)</f>
        <v>202196.4</v>
      </c>
      <c r="I82" s="695">
        <f t="shared" ref="I82:I111" si="2">G82+H82</f>
        <v>505756</v>
      </c>
    </row>
    <row r="83" spans="1:9" s="845" customFormat="1" ht="42" customHeight="1">
      <c r="A83" s="698" t="s">
        <v>188</v>
      </c>
      <c r="B83" s="1007" t="s">
        <v>8</v>
      </c>
      <c r="C83" s="1007"/>
      <c r="D83" s="1007"/>
      <c r="E83" s="786">
        <v>8100</v>
      </c>
      <c r="F83" s="712">
        <v>169711</v>
      </c>
      <c r="G83" s="697">
        <f>G510</f>
        <v>165831.6</v>
      </c>
      <c r="H83" s="697">
        <f>H510</f>
        <v>110554.4</v>
      </c>
      <c r="I83" s="697">
        <f t="shared" si="2"/>
        <v>276386</v>
      </c>
    </row>
    <row r="84" spans="1:9" s="845" customFormat="1" ht="42" customHeight="1">
      <c r="A84" s="698" t="s">
        <v>1</v>
      </c>
      <c r="B84" s="1007" t="s">
        <v>342</v>
      </c>
      <c r="C84" s="1007"/>
      <c r="D84" s="1007"/>
      <c r="E84" s="786">
        <v>8100</v>
      </c>
      <c r="F84" s="712">
        <v>169711</v>
      </c>
      <c r="G84" s="697">
        <f>G513</f>
        <v>87000</v>
      </c>
      <c r="H84" s="697">
        <f>H513</f>
        <v>58000</v>
      </c>
      <c r="I84" s="697">
        <f t="shared" si="2"/>
        <v>145000</v>
      </c>
    </row>
    <row r="85" spans="1:9" s="845" customFormat="1" ht="42" customHeight="1">
      <c r="A85" s="698" t="s">
        <v>193</v>
      </c>
      <c r="B85" s="1007" t="s">
        <v>197</v>
      </c>
      <c r="C85" s="1007"/>
      <c r="D85" s="1007"/>
      <c r="E85" s="786">
        <v>8100</v>
      </c>
      <c r="F85" s="712">
        <v>169707</v>
      </c>
      <c r="G85" s="697">
        <f>G515</f>
        <v>15000</v>
      </c>
      <c r="H85" s="697">
        <f>H515</f>
        <v>10000</v>
      </c>
      <c r="I85" s="697">
        <f t="shared" si="2"/>
        <v>25000</v>
      </c>
    </row>
    <row r="86" spans="1:9" s="845" customFormat="1" ht="42.75">
      <c r="A86" s="698" t="s">
        <v>534</v>
      </c>
      <c r="B86" s="1026" t="s">
        <v>2468</v>
      </c>
      <c r="C86" s="1027"/>
      <c r="D86" s="1028"/>
      <c r="E86" s="786">
        <v>8100</v>
      </c>
      <c r="F86" s="712">
        <v>169710</v>
      </c>
      <c r="G86" s="697">
        <f>G517-G87</f>
        <v>34351</v>
      </c>
      <c r="H86" s="697">
        <f>H517-H87</f>
        <v>23642</v>
      </c>
      <c r="I86" s="697">
        <f t="shared" si="2"/>
        <v>57993</v>
      </c>
    </row>
    <row r="87" spans="1:9" s="845" customFormat="1" ht="42.75">
      <c r="A87" s="698" t="s">
        <v>534</v>
      </c>
      <c r="B87" s="1026" t="s">
        <v>2467</v>
      </c>
      <c r="C87" s="1027"/>
      <c r="D87" s="1028"/>
      <c r="E87" s="786"/>
      <c r="F87" s="712"/>
      <c r="G87" s="697">
        <f>G519</f>
        <v>1377</v>
      </c>
      <c r="H87" s="697">
        <f>H519</f>
        <v>0</v>
      </c>
      <c r="I87" s="697">
        <f>G87+H87</f>
        <v>1377</v>
      </c>
    </row>
    <row r="88" spans="1:9" s="845" customFormat="1" ht="49.5" customHeight="1">
      <c r="A88" s="702"/>
      <c r="B88" s="1011" t="s">
        <v>939</v>
      </c>
      <c r="C88" s="1012"/>
      <c r="D88" s="1013"/>
      <c r="E88" s="750"/>
      <c r="F88" s="751"/>
      <c r="G88" s="695">
        <f>SUM(G89:G96)</f>
        <v>15874405.800000001</v>
      </c>
      <c r="H88" s="695">
        <f>SUM(H89:H96)</f>
        <v>10493203.199999999</v>
      </c>
      <c r="I88" s="695">
        <f t="shared" si="2"/>
        <v>26367609</v>
      </c>
    </row>
    <row r="89" spans="1:9" s="845" customFormat="1" ht="42" customHeight="1">
      <c r="A89" s="698" t="s">
        <v>188</v>
      </c>
      <c r="B89" s="1007" t="s">
        <v>8</v>
      </c>
      <c r="C89" s="1007"/>
      <c r="D89" s="1007"/>
      <c r="E89" s="786">
        <v>8100</v>
      </c>
      <c r="F89" s="712">
        <v>169711</v>
      </c>
      <c r="G89" s="697">
        <f>G537</f>
        <v>105000</v>
      </c>
      <c r="H89" s="697">
        <f>H537</f>
        <v>70000</v>
      </c>
      <c r="I89" s="697">
        <f t="shared" si="2"/>
        <v>175000</v>
      </c>
    </row>
    <row r="90" spans="1:9" s="845" customFormat="1" ht="42" customHeight="1">
      <c r="A90" s="698" t="s">
        <v>193</v>
      </c>
      <c r="B90" s="1007" t="s">
        <v>197</v>
      </c>
      <c r="C90" s="1007"/>
      <c r="D90" s="1007"/>
      <c r="E90" s="786">
        <v>8100</v>
      </c>
      <c r="F90" s="712">
        <v>169707</v>
      </c>
      <c r="G90" s="697">
        <f>G541</f>
        <v>36000</v>
      </c>
      <c r="H90" s="697">
        <f>H541</f>
        <v>24000</v>
      </c>
      <c r="I90" s="697">
        <f t="shared" si="2"/>
        <v>60000</v>
      </c>
    </row>
    <row r="91" spans="1:9" s="845" customFormat="1" ht="42" customHeight="1">
      <c r="A91" s="698" t="s">
        <v>340</v>
      </c>
      <c r="B91" s="1007" t="s">
        <v>157</v>
      </c>
      <c r="C91" s="1007"/>
      <c r="D91" s="1007"/>
      <c r="E91" s="786">
        <v>8100</v>
      </c>
      <c r="F91" s="712">
        <v>169712</v>
      </c>
      <c r="G91" s="697">
        <f>G543-G92</f>
        <v>6980246</v>
      </c>
      <c r="H91" s="697">
        <f>H543</f>
        <v>4828264</v>
      </c>
      <c r="I91" s="697">
        <f t="shared" si="2"/>
        <v>11808510</v>
      </c>
    </row>
    <row r="92" spans="1:9" s="845" customFormat="1" ht="42" customHeight="1">
      <c r="A92" s="698"/>
      <c r="B92" s="1007" t="s">
        <v>2472</v>
      </c>
      <c r="C92" s="1007"/>
      <c r="D92" s="1007"/>
      <c r="E92" s="786"/>
      <c r="F92" s="712"/>
      <c r="G92" s="697">
        <f>G556</f>
        <v>324710</v>
      </c>
      <c r="H92" s="697">
        <f>H556</f>
        <v>0</v>
      </c>
      <c r="I92" s="697">
        <f>G92+H92</f>
        <v>324710</v>
      </c>
    </row>
    <row r="93" spans="1:9" s="845" customFormat="1" ht="42" customHeight="1">
      <c r="A93" s="698" t="s">
        <v>721</v>
      </c>
      <c r="B93" s="1007" t="s">
        <v>722</v>
      </c>
      <c r="C93" s="1007"/>
      <c r="D93" s="1007"/>
      <c r="E93" s="786">
        <v>8100</v>
      </c>
      <c r="F93" s="712">
        <v>169717</v>
      </c>
      <c r="G93" s="697">
        <f>G557-G94</f>
        <v>7939018.7999999998</v>
      </c>
      <c r="H93" s="697">
        <f>H557</f>
        <v>5491451.2000000002</v>
      </c>
      <c r="I93" s="697">
        <f t="shared" si="2"/>
        <v>13430470</v>
      </c>
    </row>
    <row r="94" spans="1:9" s="845" customFormat="1" ht="42" customHeight="1">
      <c r="A94" s="698"/>
      <c r="B94" s="1007" t="s">
        <v>2473</v>
      </c>
      <c r="C94" s="1007"/>
      <c r="D94" s="1007"/>
      <c r="E94" s="786"/>
      <c r="F94" s="712"/>
      <c r="G94" s="697">
        <f>G573</f>
        <v>369311</v>
      </c>
      <c r="H94" s="697">
        <f>H573</f>
        <v>0</v>
      </c>
      <c r="I94" s="697">
        <f>G94+H94</f>
        <v>369311</v>
      </c>
    </row>
    <row r="95" spans="1:9" s="845" customFormat="1" ht="42" customHeight="1">
      <c r="A95" s="698" t="s">
        <v>1323</v>
      </c>
      <c r="B95" s="1007" t="s">
        <v>1324</v>
      </c>
      <c r="C95" s="1007"/>
      <c r="D95" s="1007"/>
      <c r="E95" s="786">
        <v>8100</v>
      </c>
      <c r="F95" s="712">
        <v>169710</v>
      </c>
      <c r="G95" s="697">
        <f>G574-G96</f>
        <v>115490</v>
      </c>
      <c r="H95" s="697">
        <f>H574-H96</f>
        <v>79488</v>
      </c>
      <c r="I95" s="697">
        <f t="shared" si="2"/>
        <v>194978</v>
      </c>
    </row>
    <row r="96" spans="1:9" s="845" customFormat="1" ht="42" customHeight="1">
      <c r="A96" s="698" t="s">
        <v>1323</v>
      </c>
      <c r="B96" s="1007" t="s">
        <v>2469</v>
      </c>
      <c r="C96" s="1007"/>
      <c r="D96" s="1007"/>
      <c r="E96" s="786"/>
      <c r="F96" s="712"/>
      <c r="G96" s="697">
        <f>G576</f>
        <v>4630</v>
      </c>
      <c r="H96" s="697">
        <f>H576</f>
        <v>0</v>
      </c>
      <c r="I96" s="697">
        <f>G96+H96</f>
        <v>4630</v>
      </c>
    </row>
    <row r="97" spans="1:9" s="845" customFormat="1" ht="49.5" customHeight="1">
      <c r="A97" s="702"/>
      <c r="B97" s="1011" t="s">
        <v>338</v>
      </c>
      <c r="C97" s="1012"/>
      <c r="D97" s="1013"/>
      <c r="E97" s="750"/>
      <c r="F97" s="751"/>
      <c r="G97" s="695">
        <f>SUM(G98:G99)</f>
        <v>54000</v>
      </c>
      <c r="H97" s="695">
        <f>SUM(H98:H99)</f>
        <v>36000</v>
      </c>
      <c r="I97" s="695">
        <f t="shared" si="2"/>
        <v>90000</v>
      </c>
    </row>
    <row r="98" spans="1:9" s="845" customFormat="1" ht="42" customHeight="1">
      <c r="A98" s="698" t="s">
        <v>188</v>
      </c>
      <c r="B98" s="1007" t="s">
        <v>8</v>
      </c>
      <c r="C98" s="1007"/>
      <c r="D98" s="1007"/>
      <c r="E98" s="786">
        <v>8100</v>
      </c>
      <c r="F98" s="712">
        <v>169711</v>
      </c>
      <c r="G98" s="697">
        <f>G592</f>
        <v>43200</v>
      </c>
      <c r="H98" s="697">
        <f>H592</f>
        <v>28800</v>
      </c>
      <c r="I98" s="697">
        <f t="shared" si="2"/>
        <v>72000</v>
      </c>
    </row>
    <row r="99" spans="1:9" s="845" customFormat="1" ht="42" customHeight="1">
      <c r="A99" s="698" t="s">
        <v>193</v>
      </c>
      <c r="B99" s="1007" t="s">
        <v>197</v>
      </c>
      <c r="C99" s="1007"/>
      <c r="D99" s="1007"/>
      <c r="E99" s="786">
        <v>8100</v>
      </c>
      <c r="F99" s="712">
        <v>169707</v>
      </c>
      <c r="G99" s="697">
        <f>G600</f>
        <v>10800</v>
      </c>
      <c r="H99" s="697">
        <f>H600</f>
        <v>7200</v>
      </c>
      <c r="I99" s="697">
        <f t="shared" si="2"/>
        <v>18000</v>
      </c>
    </row>
    <row r="100" spans="1:9" s="845" customFormat="1" ht="49.5" customHeight="1">
      <c r="A100" s="702"/>
      <c r="B100" s="1011" t="s">
        <v>24</v>
      </c>
      <c r="C100" s="1012"/>
      <c r="D100" s="1013"/>
      <c r="E100" s="750"/>
      <c r="F100" s="751"/>
      <c r="G100" s="695">
        <f>SUM(G101:G102)</f>
        <v>132000</v>
      </c>
      <c r="H100" s="695">
        <f>SUM(H101:H102)</f>
        <v>88000</v>
      </c>
      <c r="I100" s="695">
        <f t="shared" si="2"/>
        <v>220000</v>
      </c>
    </row>
    <row r="101" spans="1:9" s="845" customFormat="1" ht="42" customHeight="1">
      <c r="A101" s="698" t="s">
        <v>188</v>
      </c>
      <c r="B101" s="1007" t="s">
        <v>8</v>
      </c>
      <c r="C101" s="1007"/>
      <c r="D101" s="1007"/>
      <c r="E101" s="786">
        <v>8100</v>
      </c>
      <c r="F101" s="712">
        <v>169711</v>
      </c>
      <c r="G101" s="697">
        <f>G610</f>
        <v>114000</v>
      </c>
      <c r="H101" s="697">
        <f>H610</f>
        <v>76000</v>
      </c>
      <c r="I101" s="697">
        <f t="shared" si="2"/>
        <v>190000</v>
      </c>
    </row>
    <row r="102" spans="1:9" s="845" customFormat="1" ht="42" customHeight="1">
      <c r="A102" s="698" t="s">
        <v>193</v>
      </c>
      <c r="B102" s="1007" t="s">
        <v>197</v>
      </c>
      <c r="C102" s="1007"/>
      <c r="D102" s="1007"/>
      <c r="E102" s="786">
        <v>8100</v>
      </c>
      <c r="F102" s="712">
        <v>169707</v>
      </c>
      <c r="G102" s="697">
        <f>G613</f>
        <v>18000</v>
      </c>
      <c r="H102" s="697">
        <f>H613</f>
        <v>12000</v>
      </c>
      <c r="I102" s="697">
        <f t="shared" si="2"/>
        <v>30000</v>
      </c>
    </row>
    <row r="103" spans="1:9" s="845" customFormat="1" ht="49.5" customHeight="1">
      <c r="A103" s="702"/>
      <c r="B103" s="1011" t="s">
        <v>80</v>
      </c>
      <c r="C103" s="1012"/>
      <c r="D103" s="1013"/>
      <c r="E103" s="750"/>
      <c r="F103" s="751"/>
      <c r="G103" s="695">
        <f>SUM(G104:G106)</f>
        <v>567000</v>
      </c>
      <c r="H103" s="695">
        <f>SUM(H104:H106)</f>
        <v>378000</v>
      </c>
      <c r="I103" s="695">
        <f t="shared" si="2"/>
        <v>945000</v>
      </c>
    </row>
    <row r="104" spans="1:9" s="845" customFormat="1" ht="42" customHeight="1">
      <c r="A104" s="698" t="s">
        <v>188</v>
      </c>
      <c r="B104" s="1007" t="s">
        <v>8</v>
      </c>
      <c r="C104" s="1007"/>
      <c r="D104" s="1007"/>
      <c r="E104" s="786">
        <v>8100</v>
      </c>
      <c r="F104" s="712">
        <v>169711</v>
      </c>
      <c r="G104" s="697">
        <f>G623</f>
        <v>39300</v>
      </c>
      <c r="H104" s="697">
        <f>H623</f>
        <v>26200</v>
      </c>
      <c r="I104" s="697">
        <f t="shared" si="2"/>
        <v>65500</v>
      </c>
    </row>
    <row r="105" spans="1:9" s="845" customFormat="1" ht="42" customHeight="1">
      <c r="A105" s="698" t="s">
        <v>193</v>
      </c>
      <c r="B105" s="1007" t="s">
        <v>197</v>
      </c>
      <c r="C105" s="1007"/>
      <c r="D105" s="1007"/>
      <c r="E105" s="786">
        <v>8100</v>
      </c>
      <c r="F105" s="712">
        <v>169707</v>
      </c>
      <c r="G105" s="697">
        <f>G625</f>
        <v>30000</v>
      </c>
      <c r="H105" s="697">
        <f>H625</f>
        <v>20000</v>
      </c>
      <c r="I105" s="697">
        <f t="shared" si="2"/>
        <v>50000</v>
      </c>
    </row>
    <row r="106" spans="1:9" s="845" customFormat="1" ht="42" customHeight="1">
      <c r="A106" s="698" t="s">
        <v>244</v>
      </c>
      <c r="B106" s="1007" t="s">
        <v>33</v>
      </c>
      <c r="C106" s="1007"/>
      <c r="D106" s="1007"/>
      <c r="E106" s="786">
        <v>8100</v>
      </c>
      <c r="F106" s="712">
        <v>169711</v>
      </c>
      <c r="G106" s="697">
        <f>G627</f>
        <v>497700</v>
      </c>
      <c r="H106" s="697">
        <f>H627</f>
        <v>331800</v>
      </c>
      <c r="I106" s="697">
        <f t="shared" si="2"/>
        <v>829500</v>
      </c>
    </row>
    <row r="107" spans="1:9" s="845" customFormat="1" ht="49.5" customHeight="1">
      <c r="A107" s="702"/>
      <c r="B107" s="1011" t="s">
        <v>146</v>
      </c>
      <c r="C107" s="1012"/>
      <c r="D107" s="1013"/>
      <c r="E107" s="750"/>
      <c r="F107" s="751"/>
      <c r="G107" s="695">
        <f>SUM(G108:G109)</f>
        <v>86743.799999999988</v>
      </c>
      <c r="H107" s="695">
        <f>SUM(H108:H109)</f>
        <v>57829.200000000004</v>
      </c>
      <c r="I107" s="695">
        <f t="shared" si="2"/>
        <v>144573</v>
      </c>
    </row>
    <row r="108" spans="1:9" s="845" customFormat="1" ht="42" customHeight="1">
      <c r="A108" s="698" t="s">
        <v>188</v>
      </c>
      <c r="B108" s="1007" t="s">
        <v>8</v>
      </c>
      <c r="C108" s="1007"/>
      <c r="D108" s="1007"/>
      <c r="E108" s="786">
        <v>8100</v>
      </c>
      <c r="F108" s="712">
        <v>169711</v>
      </c>
      <c r="G108" s="697">
        <f>G646</f>
        <v>74743.799999999988</v>
      </c>
      <c r="H108" s="697">
        <f>H646</f>
        <v>49829.200000000004</v>
      </c>
      <c r="I108" s="697">
        <f t="shared" si="2"/>
        <v>124573</v>
      </c>
    </row>
    <row r="109" spans="1:9" s="845" customFormat="1" ht="42" customHeight="1">
      <c r="A109" s="698" t="s">
        <v>193</v>
      </c>
      <c r="B109" s="1007" t="s">
        <v>197</v>
      </c>
      <c r="C109" s="1007"/>
      <c r="D109" s="1007"/>
      <c r="E109" s="786">
        <v>8100</v>
      </c>
      <c r="F109" s="712">
        <v>169707</v>
      </c>
      <c r="G109" s="697">
        <f>G651</f>
        <v>12000</v>
      </c>
      <c r="H109" s="697">
        <f>H651</f>
        <v>8000</v>
      </c>
      <c r="I109" s="697">
        <f t="shared" si="2"/>
        <v>20000</v>
      </c>
    </row>
    <row r="110" spans="1:9" s="845" customFormat="1" ht="49.5" customHeight="1">
      <c r="A110" s="702"/>
      <c r="B110" s="1011" t="s">
        <v>150</v>
      </c>
      <c r="C110" s="1012"/>
      <c r="D110" s="1013"/>
      <c r="E110" s="750"/>
      <c r="F110" s="751"/>
      <c r="G110" s="695">
        <f>SUM(G111:G111)</f>
        <v>225000</v>
      </c>
      <c r="H110" s="695">
        <f>SUM(H111:H111)</f>
        <v>150000</v>
      </c>
      <c r="I110" s="695">
        <f t="shared" si="2"/>
        <v>375000</v>
      </c>
    </row>
    <row r="111" spans="1:9" s="845" customFormat="1" ht="42" customHeight="1">
      <c r="A111" s="698" t="s">
        <v>188</v>
      </c>
      <c r="B111" s="1007" t="s">
        <v>1482</v>
      </c>
      <c r="C111" s="1007"/>
      <c r="D111" s="1007"/>
      <c r="E111" s="786">
        <v>8100</v>
      </c>
      <c r="F111" s="712">
        <v>169711</v>
      </c>
      <c r="G111" s="697">
        <f>G661</f>
        <v>225000</v>
      </c>
      <c r="H111" s="697">
        <f>H661</f>
        <v>150000</v>
      </c>
      <c r="I111" s="697">
        <f t="shared" si="2"/>
        <v>375000</v>
      </c>
    </row>
    <row r="112" spans="1:9" s="847" customFormat="1" ht="35.25" customHeight="1">
      <c r="A112" s="358"/>
      <c r="B112" s="358"/>
      <c r="C112" s="357"/>
      <c r="D112" s="357"/>
      <c r="E112" s="357"/>
      <c r="F112" s="357"/>
      <c r="G112" s="366"/>
      <c r="H112" s="366"/>
      <c r="I112" s="384"/>
    </row>
    <row r="113" spans="1:9" ht="48.75" customHeight="1">
      <c r="A113" s="732" t="s">
        <v>200</v>
      </c>
      <c r="B113" s="733"/>
      <c r="C113" s="733"/>
      <c r="D113" s="733"/>
      <c r="E113" s="733"/>
      <c r="F113" s="733"/>
      <c r="G113" s="682">
        <f>G110+G107+G103+G100+G97+G88+G82+G76+G69+G55+G49+G43+G40+G37+G30+G28+G26+G24+G21+G12</f>
        <v>97947139.799999997</v>
      </c>
      <c r="H113" s="682">
        <f>H110+H107+H103+H100+H97+H88+H82+H76+H69+H55+H49+H43+H40+H37+H30+H28+H26+H24+H21+H12</f>
        <v>60539220.200000003</v>
      </c>
      <c r="I113" s="682">
        <f>G113+H113</f>
        <v>158486360</v>
      </c>
    </row>
    <row r="114" spans="1:9" s="846" customFormat="1" ht="36.75" customHeight="1">
      <c r="A114" s="749"/>
      <c r="B114" s="775"/>
      <c r="C114" s="749"/>
      <c r="D114" s="749"/>
      <c r="E114" s="749"/>
      <c r="F114" s="749"/>
      <c r="G114" s="66"/>
      <c r="H114" s="66"/>
      <c r="I114" s="66"/>
    </row>
    <row r="115" spans="1:9" s="846" customFormat="1" ht="20.100000000000001" customHeight="1">
      <c r="A115" s="749"/>
      <c r="B115" s="775"/>
      <c r="C115" s="749"/>
      <c r="D115" s="749"/>
      <c r="E115" s="749"/>
      <c r="F115" s="749"/>
      <c r="G115" s="66"/>
      <c r="H115" s="66"/>
      <c r="I115" s="66"/>
    </row>
    <row r="116" spans="1:9" ht="45">
      <c r="A116" s="979" t="s">
        <v>2493</v>
      </c>
      <c r="B116" s="979"/>
      <c r="C116" s="979"/>
      <c r="D116" s="979"/>
      <c r="E116" s="979"/>
      <c r="F116" s="979"/>
      <c r="G116" s="979"/>
      <c r="H116" s="979"/>
      <c r="I116" s="979"/>
    </row>
    <row r="117" spans="1:9" ht="45">
      <c r="A117" s="979" t="s">
        <v>52</v>
      </c>
      <c r="B117" s="979"/>
      <c r="C117" s="979"/>
      <c r="D117" s="979"/>
      <c r="E117" s="979"/>
      <c r="F117" s="979"/>
      <c r="G117" s="979"/>
      <c r="H117" s="979"/>
      <c r="I117" s="979"/>
    </row>
    <row r="118" spans="1:9" ht="45.75" customHeight="1">
      <c r="A118" s="1040" t="s">
        <v>50</v>
      </c>
      <c r="B118" s="1040"/>
      <c r="C118" s="1040"/>
      <c r="D118" s="1040"/>
      <c r="E118" s="1040"/>
      <c r="F118" s="1040"/>
      <c r="G118" s="1040"/>
      <c r="H118" s="1040"/>
      <c r="I118" s="1040"/>
    </row>
    <row r="119" spans="1:9" ht="33" customHeight="1">
      <c r="A119" s="736"/>
      <c r="B119" s="736"/>
      <c r="C119" s="736"/>
      <c r="D119" s="736"/>
      <c r="E119" s="736"/>
      <c r="F119" s="736"/>
      <c r="G119" s="748"/>
      <c r="H119" s="748"/>
      <c r="I119" s="748"/>
    </row>
    <row r="120" spans="1:9" ht="45">
      <c r="A120" s="979" t="s">
        <v>1489</v>
      </c>
      <c r="B120" s="979"/>
      <c r="C120" s="979"/>
      <c r="D120" s="979"/>
      <c r="E120" s="979"/>
      <c r="F120" s="979"/>
      <c r="G120" s="979"/>
      <c r="H120" s="979"/>
      <c r="I120" s="979"/>
    </row>
    <row r="121" spans="1:9" ht="20.100000000000001" customHeight="1">
      <c r="A121" s="65"/>
      <c r="B121" s="65"/>
      <c r="C121" s="65"/>
      <c r="D121" s="65"/>
      <c r="E121" s="65"/>
      <c r="F121" s="65"/>
      <c r="G121" s="68"/>
      <c r="H121" s="68"/>
      <c r="I121" s="68"/>
    </row>
    <row r="122" spans="1:9" ht="20.100000000000001" customHeight="1">
      <c r="A122" s="65"/>
      <c r="B122" s="65"/>
      <c r="C122" s="65"/>
      <c r="D122" s="65"/>
      <c r="E122" s="65"/>
      <c r="F122" s="65"/>
      <c r="G122" s="68"/>
      <c r="H122" s="68"/>
      <c r="I122" s="68"/>
    </row>
    <row r="123" spans="1:9" ht="20.100000000000001" customHeight="1">
      <c r="A123" s="65"/>
      <c r="B123" s="65"/>
      <c r="C123" s="65"/>
      <c r="D123" s="65"/>
      <c r="E123" s="65"/>
      <c r="F123" s="65"/>
      <c r="G123" s="68"/>
      <c r="H123" s="68"/>
      <c r="I123" s="68"/>
    </row>
    <row r="124" spans="1:9" ht="44.25" customHeight="1">
      <c r="A124" s="979"/>
      <c r="B124" s="979"/>
      <c r="C124" s="979"/>
      <c r="D124" s="979"/>
      <c r="E124" s="979"/>
      <c r="F124" s="979"/>
      <c r="G124" s="979"/>
      <c r="H124" s="979"/>
      <c r="I124" s="979"/>
    </row>
    <row r="125" spans="1:9" ht="50.25">
      <c r="A125" s="1029" t="s">
        <v>1365</v>
      </c>
      <c r="B125" s="1029"/>
      <c r="C125" s="1029"/>
      <c r="D125" s="1029"/>
      <c r="E125" s="1029"/>
      <c r="F125" s="1029"/>
      <c r="G125" s="1029"/>
      <c r="H125" s="1029"/>
      <c r="I125" s="1029"/>
    </row>
    <row r="126" spans="1:9" s="848" customFormat="1" ht="68.25" customHeight="1">
      <c r="A126" s="1031" t="s">
        <v>37</v>
      </c>
      <c r="B126" s="1032"/>
      <c r="C126" s="1033"/>
      <c r="D126" s="1037" t="s">
        <v>14</v>
      </c>
      <c r="E126" s="1037" t="s">
        <v>1515</v>
      </c>
      <c r="F126" s="1037" t="s">
        <v>16</v>
      </c>
      <c r="G126" s="1039" t="s">
        <v>1490</v>
      </c>
      <c r="H126" s="1039" t="s">
        <v>2454</v>
      </c>
      <c r="I126" s="1037" t="s">
        <v>200</v>
      </c>
    </row>
    <row r="127" spans="1:9" s="848" customFormat="1" ht="75.75" customHeight="1">
      <c r="A127" s="1034"/>
      <c r="B127" s="1035"/>
      <c r="C127" s="1036"/>
      <c r="D127" s="1038"/>
      <c r="E127" s="1038"/>
      <c r="F127" s="1038"/>
      <c r="G127" s="1039"/>
      <c r="H127" s="1039"/>
      <c r="I127" s="1038"/>
    </row>
    <row r="128" spans="1:9" s="848" customFormat="1" ht="66.75" customHeight="1">
      <c r="A128" s="1011" t="s">
        <v>273</v>
      </c>
      <c r="B128" s="1012"/>
      <c r="C128" s="1013"/>
      <c r="D128" s="708"/>
      <c r="E128" s="709"/>
      <c r="F128" s="710"/>
      <c r="G128" s="545">
        <f>SUM(G129:G129)</f>
        <v>60000</v>
      </c>
      <c r="H128" s="545">
        <f>SUM(H129:H129)</f>
        <v>40000</v>
      </c>
      <c r="I128" s="545">
        <f>G128+H128</f>
        <v>100000</v>
      </c>
    </row>
    <row r="129" spans="1:27" ht="66.75" customHeight="1">
      <c r="A129" s="1020" t="s">
        <v>2342</v>
      </c>
      <c r="B129" s="1021"/>
      <c r="C129" s="1022"/>
      <c r="D129" s="791" t="s">
        <v>2373</v>
      </c>
      <c r="E129" s="711">
        <v>8100</v>
      </c>
      <c r="F129" s="712">
        <v>169711</v>
      </c>
      <c r="G129" s="737">
        <f>I129/10*6</f>
        <v>60000</v>
      </c>
      <c r="H129" s="737">
        <f>I129/10*4</f>
        <v>40000</v>
      </c>
      <c r="I129" s="737">
        <v>100000</v>
      </c>
    </row>
    <row r="130" spans="1:27" s="848" customFormat="1" ht="66.75" customHeight="1">
      <c r="A130" s="1011" t="s">
        <v>2278</v>
      </c>
      <c r="B130" s="1012"/>
      <c r="C130" s="1013"/>
      <c r="D130" s="708"/>
      <c r="E130" s="709"/>
      <c r="F130" s="710"/>
      <c r="G130" s="545">
        <f>SUM(G131:G135)</f>
        <v>8587516.8000000007</v>
      </c>
      <c r="H130" s="545">
        <f>SUM(H131:H135)</f>
        <v>4837017.2</v>
      </c>
      <c r="I130" s="545">
        <f>G130+H130</f>
        <v>13424534</v>
      </c>
    </row>
    <row r="131" spans="1:27" ht="68.25" customHeight="1">
      <c r="A131" s="1020" t="s">
        <v>427</v>
      </c>
      <c r="B131" s="1021"/>
      <c r="C131" s="1022"/>
      <c r="D131" s="791" t="s">
        <v>2301</v>
      </c>
      <c r="E131" s="793">
        <v>8100</v>
      </c>
      <c r="F131" s="712">
        <v>169711</v>
      </c>
      <c r="G131" s="737">
        <f>6040836-7810+31315-1500000</f>
        <v>4564341</v>
      </c>
      <c r="H131" s="737">
        <f>6491529-795469-1500000</f>
        <v>4196060</v>
      </c>
      <c r="I131" s="737">
        <f>G131+H131</f>
        <v>8760401</v>
      </c>
    </row>
    <row r="132" spans="1:27" ht="66.75" customHeight="1">
      <c r="A132" s="1020" t="s">
        <v>1491</v>
      </c>
      <c r="B132" s="1021"/>
      <c r="C132" s="1022"/>
      <c r="D132" s="791" t="s">
        <v>2311</v>
      </c>
      <c r="E132" s="793">
        <v>8100</v>
      </c>
      <c r="F132" s="712">
        <v>169711</v>
      </c>
      <c r="G132" s="737">
        <f>I132/10*6</f>
        <v>600000</v>
      </c>
      <c r="H132" s="737">
        <f>I132/10*4</f>
        <v>400000</v>
      </c>
      <c r="I132" s="737">
        <v>1000000</v>
      </c>
      <c r="AA132" s="844">
        <v>6491529.2000000002</v>
      </c>
    </row>
    <row r="133" spans="1:27" ht="68.25" customHeight="1">
      <c r="A133" s="1020" t="s">
        <v>1034</v>
      </c>
      <c r="B133" s="1021"/>
      <c r="C133" s="1022"/>
      <c r="D133" s="791" t="s">
        <v>2374</v>
      </c>
      <c r="E133" s="793">
        <v>8100</v>
      </c>
      <c r="F133" s="712">
        <v>169711</v>
      </c>
      <c r="G133" s="737">
        <f>I133/10*6</f>
        <v>361435.80000000005</v>
      </c>
      <c r="H133" s="737">
        <f>I133/10*4</f>
        <v>240957.2</v>
      </c>
      <c r="I133" s="737">
        <v>602393</v>
      </c>
    </row>
    <row r="134" spans="1:27" ht="23.25" customHeight="1">
      <c r="A134" s="796"/>
      <c r="B134" s="809"/>
      <c r="C134" s="797"/>
      <c r="D134" s="801"/>
      <c r="E134" s="805"/>
      <c r="F134" s="712"/>
      <c r="G134" s="737"/>
      <c r="H134" s="737"/>
      <c r="I134" s="737"/>
    </row>
    <row r="135" spans="1:27" ht="68.25" customHeight="1">
      <c r="A135" s="1008" t="s">
        <v>2502</v>
      </c>
      <c r="B135" s="1009"/>
      <c r="C135" s="1010"/>
      <c r="D135" s="810"/>
      <c r="E135" s="811"/>
      <c r="F135" s="851"/>
      <c r="G135" s="813">
        <v>3061740</v>
      </c>
      <c r="H135" s="813"/>
      <c r="I135" s="813">
        <f>G135+H135</f>
        <v>3061740</v>
      </c>
    </row>
    <row r="136" spans="1:27" s="848" customFormat="1" ht="66.75" customHeight="1">
      <c r="A136" s="1011" t="s">
        <v>278</v>
      </c>
      <c r="B136" s="1012"/>
      <c r="C136" s="1013"/>
      <c r="D136" s="708"/>
      <c r="E136" s="709"/>
      <c r="F136" s="710"/>
      <c r="G136" s="545">
        <f>G137</f>
        <v>21000</v>
      </c>
      <c r="H136" s="545">
        <f>H137</f>
        <v>14000</v>
      </c>
      <c r="I136" s="545">
        <f>G136+H136</f>
        <v>35000</v>
      </c>
    </row>
    <row r="137" spans="1:27" ht="66.75" customHeight="1">
      <c r="A137" s="1020" t="s">
        <v>1338</v>
      </c>
      <c r="B137" s="1021"/>
      <c r="C137" s="1022"/>
      <c r="D137" s="791" t="s">
        <v>2377</v>
      </c>
      <c r="E137" s="711">
        <v>8100</v>
      </c>
      <c r="F137" s="794" t="s">
        <v>2445</v>
      </c>
      <c r="G137" s="737">
        <f>I137/10*6</f>
        <v>21000</v>
      </c>
      <c r="H137" s="737">
        <f>I137/10*4</f>
        <v>14000</v>
      </c>
      <c r="I137" s="737">
        <v>35000</v>
      </c>
    </row>
    <row r="138" spans="1:27" s="848" customFormat="1" ht="66.75" customHeight="1">
      <c r="A138" s="1011" t="s">
        <v>1337</v>
      </c>
      <c r="B138" s="1012"/>
      <c r="C138" s="1013"/>
      <c r="D138" s="715"/>
      <c r="E138" s="709"/>
      <c r="F138" s="709"/>
      <c r="G138" s="545">
        <f>G139</f>
        <v>600000</v>
      </c>
      <c r="H138" s="545">
        <f>H139</f>
        <v>400000</v>
      </c>
      <c r="I138" s="545">
        <f>G138+H138</f>
        <v>1000000</v>
      </c>
    </row>
    <row r="139" spans="1:27" s="849" customFormat="1" ht="68.25" customHeight="1">
      <c r="A139" s="1020" t="s">
        <v>1467</v>
      </c>
      <c r="B139" s="1021"/>
      <c r="C139" s="1022"/>
      <c r="D139" s="795" t="s">
        <v>1049</v>
      </c>
      <c r="E139" s="711">
        <v>8100</v>
      </c>
      <c r="F139" s="712">
        <v>169711</v>
      </c>
      <c r="G139" s="737">
        <f>I139/10*6</f>
        <v>600000</v>
      </c>
      <c r="H139" s="737">
        <f>I139/10*4</f>
        <v>400000</v>
      </c>
      <c r="I139" s="737">
        <v>1000000</v>
      </c>
    </row>
    <row r="140" spans="1:27" s="848" customFormat="1" ht="66.75" customHeight="1">
      <c r="A140" s="1011" t="s">
        <v>274</v>
      </c>
      <c r="B140" s="1012"/>
      <c r="C140" s="1013"/>
      <c r="D140" s="715"/>
      <c r="E140" s="709"/>
      <c r="F140" s="709"/>
      <c r="G140" s="545">
        <f>G141</f>
        <v>5663258</v>
      </c>
      <c r="H140" s="545">
        <f>H141</f>
        <v>0</v>
      </c>
      <c r="I140" s="545">
        <f>G140+H140</f>
        <v>5663258</v>
      </c>
    </row>
    <row r="141" spans="1:27" s="849" customFormat="1" ht="68.25" customHeight="1">
      <c r="A141" s="1059" t="s">
        <v>2215</v>
      </c>
      <c r="B141" s="1060"/>
      <c r="C141" s="1061"/>
      <c r="D141" s="791" t="s">
        <v>742</v>
      </c>
      <c r="E141" s="711">
        <v>8108</v>
      </c>
      <c r="F141" s="794" t="s">
        <v>2444</v>
      </c>
      <c r="G141" s="737">
        <v>5663258</v>
      </c>
      <c r="H141" s="737">
        <v>0</v>
      </c>
      <c r="I141" s="737">
        <v>5663260</v>
      </c>
    </row>
    <row r="142" spans="1:27" s="848" customFormat="1" ht="66.75" customHeight="1">
      <c r="A142" s="1011" t="s">
        <v>830</v>
      </c>
      <c r="B142" s="1012"/>
      <c r="C142" s="1013"/>
      <c r="D142" s="708"/>
      <c r="E142" s="709"/>
      <c r="F142" s="710"/>
      <c r="G142" s="545">
        <f>SUM(G143:G145)</f>
        <v>35131</v>
      </c>
      <c r="H142" s="545">
        <f>SUM(H143:H145)</f>
        <v>23230</v>
      </c>
      <c r="I142" s="545">
        <f>G142+H142</f>
        <v>58361</v>
      </c>
    </row>
    <row r="143" spans="1:27" ht="68.25" customHeight="1">
      <c r="A143" s="1020" t="s">
        <v>831</v>
      </c>
      <c r="B143" s="1021"/>
      <c r="C143" s="1022"/>
      <c r="D143" s="795" t="s">
        <v>1118</v>
      </c>
      <c r="E143" s="711">
        <v>8100</v>
      </c>
      <c r="F143" s="794">
        <v>169706</v>
      </c>
      <c r="G143" s="737">
        <v>33754</v>
      </c>
      <c r="H143" s="737">
        <v>23230</v>
      </c>
      <c r="I143" s="737">
        <f>G143+H143</f>
        <v>56984</v>
      </c>
    </row>
    <row r="144" spans="1:27" ht="23.25" customHeight="1">
      <c r="A144" s="796"/>
      <c r="B144" s="809"/>
      <c r="C144" s="797"/>
      <c r="D144" s="801"/>
      <c r="E144" s="805"/>
      <c r="F144" s="804"/>
      <c r="G144" s="737"/>
      <c r="H144" s="737"/>
      <c r="I144" s="737"/>
    </row>
    <row r="145" spans="1:9" ht="68.25" customHeight="1">
      <c r="A145" s="1008" t="s">
        <v>2453</v>
      </c>
      <c r="B145" s="1009"/>
      <c r="C145" s="1010"/>
      <c r="D145" s="810"/>
      <c r="E145" s="811"/>
      <c r="F145" s="812"/>
      <c r="G145" s="813">
        <v>1377</v>
      </c>
      <c r="H145" s="813"/>
      <c r="I145" s="813">
        <f>G145+H145</f>
        <v>1377</v>
      </c>
    </row>
    <row r="146" spans="1:9" ht="37.5" customHeight="1">
      <c r="A146" s="474"/>
      <c r="B146" s="475"/>
      <c r="C146" s="475"/>
      <c r="D146" s="475"/>
      <c r="E146" s="475"/>
      <c r="F146" s="475"/>
      <c r="G146" s="475"/>
      <c r="H146" s="475"/>
      <c r="I146" s="476"/>
    </row>
    <row r="147" spans="1:9" ht="68.25" customHeight="1">
      <c r="A147" s="1017" t="s">
        <v>200</v>
      </c>
      <c r="B147" s="1018"/>
      <c r="C147" s="1018"/>
      <c r="D147" s="1018"/>
      <c r="E147" s="1018"/>
      <c r="F147" s="1018"/>
      <c r="G147" s="688">
        <f>G128+G130+G136+G138+G140+G142</f>
        <v>14966905.800000001</v>
      </c>
      <c r="H147" s="688">
        <f>H128+H130+H136+H138+H140+H142</f>
        <v>5314247.2</v>
      </c>
      <c r="I147" s="688">
        <f>SUM(G147:H147)</f>
        <v>20281153</v>
      </c>
    </row>
    <row r="148" spans="1:9" ht="48" customHeight="1">
      <c r="A148" s="1041" t="s">
        <v>2455</v>
      </c>
      <c r="B148" s="1041"/>
      <c r="C148" s="1042"/>
      <c r="D148" s="1042"/>
      <c r="E148" s="1042"/>
      <c r="F148" s="1042"/>
      <c r="G148" s="1042"/>
      <c r="H148" s="1042"/>
      <c r="I148" s="1042"/>
    </row>
    <row r="149" spans="1:9" ht="42" customHeight="1">
      <c r="A149" s="1041" t="s">
        <v>2456</v>
      </c>
      <c r="B149" s="1041"/>
      <c r="C149" s="1042"/>
      <c r="D149" s="1042"/>
      <c r="E149" s="1042"/>
      <c r="F149" s="1042"/>
      <c r="G149" s="1042"/>
      <c r="H149" s="1042"/>
      <c r="I149" s="1042"/>
    </row>
    <row r="150" spans="1:9" ht="71.25" customHeight="1">
      <c r="A150" s="1062"/>
      <c r="B150" s="1062"/>
      <c r="C150" s="1062"/>
      <c r="D150" s="1062"/>
      <c r="E150" s="1062"/>
      <c r="F150" s="1062"/>
      <c r="G150" s="1062"/>
      <c r="H150" s="1062"/>
      <c r="I150" s="1062"/>
    </row>
    <row r="151" spans="1:9" ht="70.5" customHeight="1">
      <c r="A151" s="1062"/>
      <c r="B151" s="1062"/>
      <c r="C151" s="1062"/>
      <c r="D151" s="1062"/>
      <c r="E151" s="1062"/>
      <c r="F151" s="1062"/>
      <c r="G151" s="1062"/>
      <c r="H151" s="1062"/>
      <c r="I151" s="1062"/>
    </row>
    <row r="152" spans="1:9" s="846" customFormat="1" ht="39.950000000000003" customHeight="1">
      <c r="A152" s="76"/>
      <c r="B152" s="76"/>
      <c r="C152" s="76"/>
      <c r="D152" s="76"/>
      <c r="E152" s="76"/>
      <c r="F152" s="76"/>
      <c r="G152" s="77"/>
      <c r="H152" s="77"/>
      <c r="I152" s="77"/>
    </row>
    <row r="153" spans="1:9" s="846" customFormat="1" ht="20.100000000000001" customHeight="1">
      <c r="A153" s="76"/>
      <c r="B153" s="76"/>
      <c r="C153" s="76"/>
      <c r="D153" s="76"/>
      <c r="E153" s="76"/>
      <c r="F153" s="76"/>
      <c r="G153" s="77"/>
      <c r="H153" s="77"/>
      <c r="I153" s="77"/>
    </row>
    <row r="154" spans="1:9" s="846" customFormat="1" ht="20.100000000000001" customHeight="1">
      <c r="A154" s="76"/>
      <c r="B154" s="76"/>
      <c r="C154" s="76"/>
      <c r="D154" s="76"/>
      <c r="E154" s="76"/>
      <c r="F154" s="76"/>
      <c r="G154" s="77"/>
      <c r="H154" s="77"/>
      <c r="I154" s="77"/>
    </row>
    <row r="155" spans="1:9" s="846" customFormat="1" ht="20.100000000000001" customHeight="1">
      <c r="A155" s="76"/>
      <c r="B155" s="76"/>
      <c r="C155" s="76"/>
      <c r="D155" s="76"/>
      <c r="E155" s="76"/>
      <c r="F155" s="76"/>
      <c r="G155" s="77"/>
      <c r="H155" s="77"/>
      <c r="I155" s="77"/>
    </row>
    <row r="156" spans="1:9" ht="44.25" customHeight="1">
      <c r="A156" s="979" t="s">
        <v>2493</v>
      </c>
      <c r="B156" s="979"/>
      <c r="C156" s="979"/>
      <c r="D156" s="979"/>
      <c r="E156" s="979"/>
      <c r="F156" s="979"/>
      <c r="G156" s="979"/>
      <c r="H156" s="979"/>
      <c r="I156" s="979"/>
    </row>
    <row r="157" spans="1:9" ht="45.75" customHeight="1">
      <c r="A157" s="979" t="s">
        <v>52</v>
      </c>
      <c r="B157" s="979"/>
      <c r="C157" s="979"/>
      <c r="D157" s="979"/>
      <c r="E157" s="979"/>
      <c r="F157" s="979"/>
      <c r="G157" s="979"/>
      <c r="H157" s="979"/>
      <c r="I157" s="979"/>
    </row>
    <row r="158" spans="1:9" ht="45.75" customHeight="1">
      <c r="A158" s="1040" t="s">
        <v>50</v>
      </c>
      <c r="B158" s="1040"/>
      <c r="C158" s="1040"/>
      <c r="D158" s="1040"/>
      <c r="E158" s="1040"/>
      <c r="F158" s="1040"/>
      <c r="G158" s="1040"/>
      <c r="H158" s="1040"/>
      <c r="I158" s="1040"/>
    </row>
    <row r="159" spans="1:9" ht="33" customHeight="1">
      <c r="A159" s="736"/>
      <c r="B159" s="736"/>
      <c r="C159" s="736"/>
      <c r="D159" s="736"/>
      <c r="E159" s="736"/>
      <c r="F159" s="736"/>
      <c r="G159" s="748"/>
      <c r="H159" s="748"/>
      <c r="I159" s="748"/>
    </row>
    <row r="160" spans="1:9" ht="45">
      <c r="A160" s="979" t="s">
        <v>1489</v>
      </c>
      <c r="B160" s="979"/>
      <c r="C160" s="979"/>
      <c r="D160" s="979"/>
      <c r="E160" s="979"/>
      <c r="F160" s="979"/>
      <c r="G160" s="979"/>
      <c r="H160" s="979"/>
      <c r="I160" s="979"/>
    </row>
    <row r="161" spans="1:9" ht="45" customHeight="1">
      <c r="G161" s="10"/>
      <c r="H161" s="10"/>
      <c r="I161" s="10"/>
    </row>
    <row r="162" spans="1:9" ht="12.75"/>
    <row r="163" spans="1:9" ht="33.75" customHeight="1">
      <c r="A163" s="645"/>
      <c r="B163" s="645"/>
      <c r="C163" s="645"/>
      <c r="D163" s="645"/>
      <c r="E163" s="645"/>
      <c r="F163" s="645"/>
      <c r="G163" s="645"/>
      <c r="H163" s="645"/>
      <c r="I163" s="645"/>
    </row>
    <row r="164" spans="1:9" ht="50.25">
      <c r="A164" s="1063" t="s">
        <v>96</v>
      </c>
      <c r="B164" s="1063"/>
      <c r="C164" s="1063"/>
      <c r="D164" s="1063"/>
      <c r="E164" s="1063"/>
      <c r="F164" s="1063"/>
      <c r="G164" s="1063"/>
      <c r="H164" s="1063"/>
      <c r="I164" s="1063"/>
    </row>
    <row r="165" spans="1:9" s="848" customFormat="1" ht="67.5" customHeight="1">
      <c r="A165" s="1031" t="s">
        <v>37</v>
      </c>
      <c r="B165" s="1032"/>
      <c r="C165" s="1033"/>
      <c r="D165" s="1037" t="s">
        <v>14</v>
      </c>
      <c r="E165" s="1037" t="s">
        <v>1515</v>
      </c>
      <c r="F165" s="1037" t="s">
        <v>16</v>
      </c>
      <c r="G165" s="1039" t="s">
        <v>1490</v>
      </c>
      <c r="H165" s="1039" t="s">
        <v>2454</v>
      </c>
      <c r="I165" s="1037" t="s">
        <v>200</v>
      </c>
    </row>
    <row r="166" spans="1:9" s="848" customFormat="1" ht="75" customHeight="1">
      <c r="A166" s="1034"/>
      <c r="B166" s="1035"/>
      <c r="C166" s="1036"/>
      <c r="D166" s="1038"/>
      <c r="E166" s="1038"/>
      <c r="F166" s="1038"/>
      <c r="G166" s="1039"/>
      <c r="H166" s="1039"/>
      <c r="I166" s="1038"/>
    </row>
    <row r="167" spans="1:9" s="848" customFormat="1" ht="66.75" customHeight="1">
      <c r="A167" s="1011" t="s">
        <v>273</v>
      </c>
      <c r="B167" s="1012"/>
      <c r="C167" s="1013"/>
      <c r="D167" s="708"/>
      <c r="E167" s="709"/>
      <c r="F167" s="710"/>
      <c r="G167" s="545">
        <f>G168</f>
        <v>46887.600000000006</v>
      </c>
      <c r="H167" s="545">
        <f>H168</f>
        <v>31258.400000000001</v>
      </c>
      <c r="I167" s="545">
        <f>G167+H167</f>
        <v>78146</v>
      </c>
    </row>
    <row r="168" spans="1:9" ht="66" customHeight="1">
      <c r="A168" s="1014" t="s">
        <v>2342</v>
      </c>
      <c r="B168" s="1015"/>
      <c r="C168" s="1016"/>
      <c r="D168" s="791" t="s">
        <v>2380</v>
      </c>
      <c r="E168" s="711">
        <v>8100</v>
      </c>
      <c r="F168" s="712">
        <v>169711</v>
      </c>
      <c r="G168" s="737">
        <f>I168/10*6</f>
        <v>46887.600000000006</v>
      </c>
      <c r="H168" s="737">
        <f>I168/10*4</f>
        <v>31258.400000000001</v>
      </c>
      <c r="I168" s="737">
        <v>78146</v>
      </c>
    </row>
    <row r="169" spans="1:9" s="848" customFormat="1" ht="66.75" customHeight="1">
      <c r="A169" s="1011" t="s">
        <v>2278</v>
      </c>
      <c r="B169" s="1012"/>
      <c r="C169" s="1013"/>
      <c r="D169" s="708"/>
      <c r="E169" s="709"/>
      <c r="F169" s="710"/>
      <c r="G169" s="545">
        <f>G170</f>
        <v>1500000</v>
      </c>
      <c r="H169" s="545">
        <f>H170</f>
        <v>1000000</v>
      </c>
      <c r="I169" s="545">
        <f>G169+H169</f>
        <v>2500000</v>
      </c>
    </row>
    <row r="170" spans="1:9" ht="68.25" customHeight="1">
      <c r="A170" s="1014" t="s">
        <v>2378</v>
      </c>
      <c r="B170" s="1015"/>
      <c r="C170" s="1016"/>
      <c r="D170" s="791" t="s">
        <v>2375</v>
      </c>
      <c r="E170" s="793">
        <v>8100</v>
      </c>
      <c r="F170" s="712">
        <v>169711</v>
      </c>
      <c r="G170" s="737">
        <f>I170/10*6</f>
        <v>1500000</v>
      </c>
      <c r="H170" s="737">
        <f>I170/10*4</f>
        <v>1000000</v>
      </c>
      <c r="I170" s="737">
        <v>2500000</v>
      </c>
    </row>
    <row r="171" spans="1:9" ht="38.25" customHeight="1">
      <c r="A171" s="232"/>
      <c r="B171" s="232"/>
      <c r="C171" s="233"/>
      <c r="D171" s="233"/>
      <c r="E171" s="233"/>
      <c r="F171" s="233"/>
      <c r="G171" s="390"/>
      <c r="H171" s="390"/>
      <c r="I171" s="390"/>
    </row>
    <row r="172" spans="1:9" ht="67.5" customHeight="1">
      <c r="A172" s="1017" t="s">
        <v>200</v>
      </c>
      <c r="B172" s="1018"/>
      <c r="C172" s="1018"/>
      <c r="D172" s="1018"/>
      <c r="E172" s="1018"/>
      <c r="F172" s="1018"/>
      <c r="G172" s="688">
        <f>G167+G169</f>
        <v>1546887.6</v>
      </c>
      <c r="H172" s="688">
        <f>H167+H169</f>
        <v>1031258.4</v>
      </c>
      <c r="I172" s="688">
        <f>G172+H172</f>
        <v>2578146</v>
      </c>
    </row>
    <row r="173" spans="1:9" ht="45.75">
      <c r="A173" s="1041" t="s">
        <v>2455</v>
      </c>
      <c r="B173" s="1041"/>
      <c r="C173" s="1042"/>
      <c r="D173" s="1042"/>
      <c r="E173" s="1042"/>
      <c r="F173" s="1042"/>
      <c r="G173" s="1042"/>
      <c r="H173" s="1042"/>
      <c r="I173" s="1042"/>
    </row>
    <row r="174" spans="1:9" ht="33.75" customHeight="1">
      <c r="C174" s="645"/>
      <c r="D174" s="645"/>
      <c r="E174" s="645"/>
      <c r="F174" s="645"/>
      <c r="G174" s="645"/>
      <c r="H174" s="645"/>
      <c r="I174" s="645"/>
    </row>
    <row r="175" spans="1:9" ht="50.25">
      <c r="A175" s="1043" t="s">
        <v>516</v>
      </c>
      <c r="B175" s="1043"/>
      <c r="C175" s="1043"/>
      <c r="D175" s="1043"/>
      <c r="E175" s="1043"/>
      <c r="F175" s="1043"/>
      <c r="G175" s="1043"/>
      <c r="H175" s="1043"/>
      <c r="I175" s="1043"/>
    </row>
    <row r="176" spans="1:9" s="848" customFormat="1" ht="67.5" customHeight="1">
      <c r="A176" s="1031" t="s">
        <v>37</v>
      </c>
      <c r="B176" s="1032"/>
      <c r="C176" s="1033"/>
      <c r="D176" s="1037" t="s">
        <v>14</v>
      </c>
      <c r="E176" s="1037" t="s">
        <v>1515</v>
      </c>
      <c r="F176" s="1037" t="s">
        <v>16</v>
      </c>
      <c r="G176" s="1039" t="s">
        <v>1490</v>
      </c>
      <c r="H176" s="1039" t="s">
        <v>2454</v>
      </c>
      <c r="I176" s="1037" t="s">
        <v>200</v>
      </c>
    </row>
    <row r="177" spans="1:9" s="848" customFormat="1" ht="75" customHeight="1">
      <c r="A177" s="1034"/>
      <c r="B177" s="1035"/>
      <c r="C177" s="1036"/>
      <c r="D177" s="1038"/>
      <c r="E177" s="1038"/>
      <c r="F177" s="1038"/>
      <c r="G177" s="1039"/>
      <c r="H177" s="1039"/>
      <c r="I177" s="1038"/>
    </row>
    <row r="178" spans="1:9" s="848" customFormat="1" ht="66.75" customHeight="1">
      <c r="A178" s="1011" t="s">
        <v>273</v>
      </c>
      <c r="B178" s="1012"/>
      <c r="C178" s="1013"/>
      <c r="D178" s="708"/>
      <c r="E178" s="709"/>
      <c r="F178" s="710"/>
      <c r="G178" s="545">
        <f>G179</f>
        <v>31881</v>
      </c>
      <c r="H178" s="545">
        <f>H179</f>
        <v>21254</v>
      </c>
      <c r="I178" s="545">
        <f>G178+H178</f>
        <v>53135</v>
      </c>
    </row>
    <row r="179" spans="1:9" ht="66" customHeight="1">
      <c r="A179" s="1014" t="s">
        <v>140</v>
      </c>
      <c r="B179" s="1015"/>
      <c r="C179" s="1016"/>
      <c r="D179" s="970" t="s">
        <v>971</v>
      </c>
      <c r="E179" s="711">
        <v>8100</v>
      </c>
      <c r="F179" s="712">
        <v>169711</v>
      </c>
      <c r="G179" s="737">
        <f>I179/10*6</f>
        <v>31881</v>
      </c>
      <c r="H179" s="737">
        <f>I179/10*4</f>
        <v>21254</v>
      </c>
      <c r="I179" s="737">
        <v>53135</v>
      </c>
    </row>
    <row r="180" spans="1:9" ht="38.25" customHeight="1">
      <c r="A180" s="232"/>
      <c r="B180" s="232"/>
      <c r="C180" s="233"/>
      <c r="D180" s="233"/>
      <c r="E180" s="233"/>
      <c r="F180" s="233"/>
      <c r="G180" s="390"/>
      <c r="H180" s="390"/>
      <c r="I180" s="390"/>
    </row>
    <row r="181" spans="1:9" ht="67.5" customHeight="1">
      <c r="A181" s="1017" t="s">
        <v>200</v>
      </c>
      <c r="B181" s="1018"/>
      <c r="C181" s="1018"/>
      <c r="D181" s="1018"/>
      <c r="E181" s="1018"/>
      <c r="F181" s="1018"/>
      <c r="G181" s="688">
        <f>SUM(G178)</f>
        <v>31881</v>
      </c>
      <c r="H181" s="688">
        <f>SUM(H178)</f>
        <v>21254</v>
      </c>
      <c r="I181" s="688">
        <f>SUM(I178)</f>
        <v>53135</v>
      </c>
    </row>
    <row r="182" spans="1:9" ht="45.75">
      <c r="A182" s="1041" t="s">
        <v>2455</v>
      </c>
      <c r="B182" s="1041"/>
      <c r="C182" s="1042"/>
      <c r="D182" s="1042"/>
      <c r="E182" s="1042"/>
      <c r="F182" s="1042"/>
      <c r="G182" s="1042"/>
      <c r="H182" s="1042"/>
      <c r="I182" s="1042"/>
    </row>
    <row r="183" spans="1:9" ht="33.75" customHeight="1">
      <c r="A183" s="75"/>
      <c r="B183" s="75"/>
      <c r="C183" s="65"/>
      <c r="D183" s="65"/>
      <c r="E183" s="65"/>
      <c r="F183" s="65"/>
      <c r="G183" s="83"/>
      <c r="H183" s="83"/>
      <c r="I183" s="83"/>
    </row>
    <row r="184" spans="1:9" ht="50.25">
      <c r="A184" s="1043" t="s">
        <v>100</v>
      </c>
      <c r="B184" s="1043"/>
      <c r="C184" s="1043"/>
      <c r="D184" s="1043"/>
      <c r="E184" s="1043"/>
      <c r="F184" s="1043"/>
      <c r="G184" s="1043"/>
      <c r="H184" s="1043"/>
      <c r="I184" s="1043"/>
    </row>
    <row r="185" spans="1:9" s="848" customFormat="1" ht="67.5" customHeight="1">
      <c r="A185" s="1031" t="s">
        <v>37</v>
      </c>
      <c r="B185" s="1032"/>
      <c r="C185" s="1033"/>
      <c r="D185" s="1037" t="s">
        <v>14</v>
      </c>
      <c r="E185" s="1037" t="s">
        <v>1515</v>
      </c>
      <c r="F185" s="1037" t="s">
        <v>16</v>
      </c>
      <c r="G185" s="1039" t="s">
        <v>1490</v>
      </c>
      <c r="H185" s="1039" t="s">
        <v>2454</v>
      </c>
      <c r="I185" s="1037" t="s">
        <v>200</v>
      </c>
    </row>
    <row r="186" spans="1:9" s="848" customFormat="1" ht="75" customHeight="1">
      <c r="A186" s="1034"/>
      <c r="B186" s="1035"/>
      <c r="C186" s="1036"/>
      <c r="D186" s="1038"/>
      <c r="E186" s="1038"/>
      <c r="F186" s="1038"/>
      <c r="G186" s="1039"/>
      <c r="H186" s="1039"/>
      <c r="I186" s="1038"/>
    </row>
    <row r="187" spans="1:9" s="848" customFormat="1" ht="66.75" customHeight="1">
      <c r="A187" s="1011" t="s">
        <v>273</v>
      </c>
      <c r="B187" s="1012"/>
      <c r="C187" s="1013"/>
      <c r="D187" s="708"/>
      <c r="E187" s="709"/>
      <c r="F187" s="710"/>
      <c r="G187" s="545">
        <f>G188</f>
        <v>13755</v>
      </c>
      <c r="H187" s="545">
        <f>H188</f>
        <v>9170</v>
      </c>
      <c r="I187" s="545">
        <f>G187+H187</f>
        <v>22925</v>
      </c>
    </row>
    <row r="188" spans="1:9" ht="66" customHeight="1">
      <c r="A188" s="1014" t="s">
        <v>213</v>
      </c>
      <c r="B188" s="1015"/>
      <c r="C188" s="1016"/>
      <c r="D188" s="970" t="s">
        <v>1126</v>
      </c>
      <c r="E188" s="711">
        <v>8100</v>
      </c>
      <c r="F188" s="712">
        <v>169711</v>
      </c>
      <c r="G188" s="737">
        <f>I188/10*6</f>
        <v>13755</v>
      </c>
      <c r="H188" s="737">
        <f>I188/10*4</f>
        <v>9170</v>
      </c>
      <c r="I188" s="737">
        <v>22925</v>
      </c>
    </row>
    <row r="189" spans="1:9" ht="38.25" customHeight="1">
      <c r="A189" s="232"/>
      <c r="B189" s="232"/>
      <c r="C189" s="233"/>
      <c r="D189" s="233"/>
      <c r="E189" s="233"/>
      <c r="F189" s="233"/>
      <c r="G189" s="390"/>
      <c r="H189" s="390"/>
      <c r="I189" s="390"/>
    </row>
    <row r="190" spans="1:9" ht="67.5" customHeight="1">
      <c r="A190" s="1017" t="s">
        <v>200</v>
      </c>
      <c r="B190" s="1018"/>
      <c r="C190" s="1018"/>
      <c r="D190" s="1018"/>
      <c r="E190" s="1018"/>
      <c r="F190" s="1018"/>
      <c r="G190" s="688">
        <f>SUM(G187)</f>
        <v>13755</v>
      </c>
      <c r="H190" s="688">
        <f>SUM(H187)</f>
        <v>9170</v>
      </c>
      <c r="I190" s="688">
        <f>SUM(I187)</f>
        <v>22925</v>
      </c>
    </row>
    <row r="191" spans="1:9" ht="45.75">
      <c r="A191" s="1041" t="s">
        <v>2455</v>
      </c>
      <c r="B191" s="1041"/>
      <c r="C191" s="1042"/>
      <c r="D191" s="1042"/>
      <c r="E191" s="1042"/>
      <c r="F191" s="1042"/>
      <c r="G191" s="1042"/>
      <c r="H191" s="1042"/>
      <c r="I191" s="1042"/>
    </row>
    <row r="192" spans="1:9" ht="33.75" customHeight="1">
      <c r="A192" s="75"/>
      <c r="B192" s="75"/>
      <c r="C192" s="65"/>
      <c r="D192" s="65"/>
      <c r="E192" s="65"/>
      <c r="F192" s="65"/>
      <c r="G192" s="83"/>
      <c r="H192" s="83"/>
      <c r="I192" s="83"/>
    </row>
    <row r="193" spans="1:9" ht="50.25">
      <c r="A193" s="1043" t="s">
        <v>1362</v>
      </c>
      <c r="B193" s="1043"/>
      <c r="C193" s="1043"/>
      <c r="D193" s="1043"/>
      <c r="E193" s="1043"/>
      <c r="F193" s="1043"/>
      <c r="G193" s="1043"/>
      <c r="H193" s="1043"/>
      <c r="I193" s="1043"/>
    </row>
    <row r="194" spans="1:9" s="848" customFormat="1" ht="67.5" customHeight="1">
      <c r="A194" s="1031" t="s">
        <v>37</v>
      </c>
      <c r="B194" s="1032"/>
      <c r="C194" s="1033"/>
      <c r="D194" s="1037" t="s">
        <v>14</v>
      </c>
      <c r="E194" s="1037" t="s">
        <v>1515</v>
      </c>
      <c r="F194" s="1037" t="s">
        <v>16</v>
      </c>
      <c r="G194" s="1039" t="s">
        <v>1490</v>
      </c>
      <c r="H194" s="1039" t="s">
        <v>2454</v>
      </c>
      <c r="I194" s="1037" t="s">
        <v>200</v>
      </c>
    </row>
    <row r="195" spans="1:9" s="848" customFormat="1" ht="75" customHeight="1">
      <c r="A195" s="1034"/>
      <c r="B195" s="1035"/>
      <c r="C195" s="1036"/>
      <c r="D195" s="1038"/>
      <c r="E195" s="1038"/>
      <c r="F195" s="1038"/>
      <c r="G195" s="1039"/>
      <c r="H195" s="1039"/>
      <c r="I195" s="1038"/>
    </row>
    <row r="196" spans="1:9" s="848" customFormat="1" ht="66.75" customHeight="1">
      <c r="A196" s="1011" t="s">
        <v>273</v>
      </c>
      <c r="B196" s="1012"/>
      <c r="C196" s="1013"/>
      <c r="D196" s="708"/>
      <c r="E196" s="709"/>
      <c r="F196" s="710"/>
      <c r="G196" s="545">
        <f>G197</f>
        <v>73504.799999999988</v>
      </c>
      <c r="H196" s="545">
        <f>H197</f>
        <v>49003.199999999997</v>
      </c>
      <c r="I196" s="545">
        <f>G196+H196</f>
        <v>122507.99999999999</v>
      </c>
    </row>
    <row r="197" spans="1:9" ht="66" customHeight="1">
      <c r="A197" s="1014" t="s">
        <v>366</v>
      </c>
      <c r="B197" s="1015"/>
      <c r="C197" s="1016"/>
      <c r="D197" s="795" t="s">
        <v>1127</v>
      </c>
      <c r="E197" s="711">
        <v>8100</v>
      </c>
      <c r="F197" s="712">
        <v>169711</v>
      </c>
      <c r="G197" s="737">
        <f>I197/10*6</f>
        <v>73504.799999999988</v>
      </c>
      <c r="H197" s="737">
        <f>I197/10*4</f>
        <v>49003.199999999997</v>
      </c>
      <c r="I197" s="737">
        <v>122508</v>
      </c>
    </row>
    <row r="198" spans="1:9" ht="38.25" customHeight="1">
      <c r="A198" s="232"/>
      <c r="B198" s="232"/>
      <c r="C198" s="233"/>
      <c r="D198" s="233"/>
      <c r="E198" s="233"/>
      <c r="F198" s="233"/>
      <c r="G198" s="390"/>
      <c r="H198" s="390"/>
      <c r="I198" s="390"/>
    </row>
    <row r="199" spans="1:9" ht="67.5" customHeight="1">
      <c r="A199" s="1017" t="s">
        <v>200</v>
      </c>
      <c r="B199" s="1018"/>
      <c r="C199" s="1018"/>
      <c r="D199" s="1018"/>
      <c r="E199" s="1018"/>
      <c r="F199" s="1018"/>
      <c r="G199" s="688">
        <f>SUM(G196)</f>
        <v>73504.799999999988</v>
      </c>
      <c r="H199" s="688">
        <f>SUM(H196)</f>
        <v>49003.199999999997</v>
      </c>
      <c r="I199" s="688">
        <f>SUM(I196)</f>
        <v>122507.99999999999</v>
      </c>
    </row>
    <row r="200" spans="1:9" ht="46.5" customHeight="1">
      <c r="A200" s="1041" t="s">
        <v>2455</v>
      </c>
      <c r="B200" s="1041"/>
      <c r="C200" s="1042"/>
      <c r="D200" s="1042"/>
      <c r="E200" s="1042"/>
      <c r="F200" s="1042"/>
      <c r="G200" s="1042"/>
      <c r="H200" s="1042"/>
      <c r="I200" s="1042"/>
    </row>
    <row r="201" spans="1:9" ht="17.100000000000001" customHeight="1">
      <c r="A201" s="75"/>
      <c r="B201" s="75"/>
      <c r="C201" s="65"/>
      <c r="D201" s="65"/>
      <c r="E201" s="65"/>
      <c r="F201" s="65"/>
      <c r="G201" s="83"/>
      <c r="H201" s="83"/>
      <c r="I201" s="83"/>
    </row>
    <row r="202" spans="1:9" ht="17.100000000000001" customHeight="1">
      <c r="A202" s="75"/>
      <c r="B202" s="75"/>
      <c r="C202" s="65"/>
      <c r="D202" s="65"/>
      <c r="E202" s="65"/>
      <c r="F202" s="65"/>
      <c r="G202" s="83"/>
      <c r="H202" s="83"/>
      <c r="I202" s="83"/>
    </row>
    <row r="203" spans="1:9" ht="17.100000000000001" customHeight="1">
      <c r="A203" s="75"/>
      <c r="B203" s="75"/>
      <c r="C203" s="65"/>
      <c r="D203" s="65"/>
      <c r="E203" s="65"/>
      <c r="F203" s="65"/>
      <c r="G203" s="83"/>
      <c r="H203" s="83"/>
      <c r="I203" s="83"/>
    </row>
    <row r="204" spans="1:9" ht="17.100000000000001" customHeight="1">
      <c r="A204" s="75"/>
      <c r="B204" s="75"/>
      <c r="C204" s="65"/>
      <c r="D204" s="65"/>
      <c r="E204" s="65"/>
      <c r="F204" s="65"/>
      <c r="G204" s="83"/>
      <c r="H204" s="83"/>
      <c r="I204" s="83"/>
    </row>
    <row r="205" spans="1:9" ht="17.100000000000001" customHeight="1">
      <c r="A205" s="75"/>
      <c r="B205" s="75"/>
      <c r="C205" s="65"/>
      <c r="D205" s="65"/>
      <c r="E205" s="65"/>
      <c r="F205" s="65"/>
      <c r="G205" s="83"/>
      <c r="H205" s="83"/>
      <c r="I205" s="83"/>
    </row>
    <row r="206" spans="1:9" ht="17.100000000000001" customHeight="1">
      <c r="A206" s="75"/>
      <c r="B206" s="75"/>
      <c r="C206" s="65"/>
      <c r="D206" s="65"/>
      <c r="E206" s="65"/>
      <c r="F206" s="65"/>
      <c r="G206" s="83"/>
      <c r="H206" s="83"/>
      <c r="I206" s="83"/>
    </row>
    <row r="207" spans="1:9" ht="17.100000000000001" customHeight="1">
      <c r="A207" s="75"/>
      <c r="B207" s="75"/>
      <c r="C207" s="65"/>
      <c r="D207" s="65"/>
      <c r="E207" s="65"/>
      <c r="F207" s="65"/>
      <c r="G207" s="83"/>
      <c r="H207" s="83"/>
      <c r="I207" s="83"/>
    </row>
    <row r="208" spans="1:9" ht="17.100000000000001" customHeight="1">
      <c r="A208" s="75"/>
      <c r="B208" s="75"/>
      <c r="C208" s="65"/>
      <c r="D208" s="65"/>
      <c r="E208" s="65"/>
      <c r="F208" s="65"/>
      <c r="G208" s="83"/>
      <c r="H208" s="83"/>
      <c r="I208" s="83"/>
    </row>
    <row r="209" spans="1:9" ht="44.25" customHeight="1">
      <c r="A209" s="979" t="s">
        <v>2493</v>
      </c>
      <c r="B209" s="979"/>
      <c r="C209" s="979"/>
      <c r="D209" s="979"/>
      <c r="E209" s="979"/>
      <c r="F209" s="979"/>
      <c r="G209" s="979"/>
      <c r="H209" s="979"/>
      <c r="I209" s="979"/>
    </row>
    <row r="210" spans="1:9" ht="45.75" customHeight="1">
      <c r="A210" s="979" t="s">
        <v>52</v>
      </c>
      <c r="B210" s="979"/>
      <c r="C210" s="979"/>
      <c r="D210" s="979"/>
      <c r="E210" s="979"/>
      <c r="F210" s="979"/>
      <c r="G210" s="979"/>
      <c r="H210" s="979"/>
      <c r="I210" s="979"/>
    </row>
    <row r="211" spans="1:9" ht="45.75" customHeight="1">
      <c r="A211" s="1040" t="s">
        <v>50</v>
      </c>
      <c r="B211" s="1040"/>
      <c r="C211" s="1040"/>
      <c r="D211" s="1040"/>
      <c r="E211" s="1040"/>
      <c r="F211" s="1040"/>
      <c r="G211" s="1040"/>
      <c r="H211" s="1040"/>
      <c r="I211" s="1040"/>
    </row>
    <row r="212" spans="1:9" ht="33" customHeight="1">
      <c r="A212" s="736"/>
      <c r="B212" s="736"/>
      <c r="C212" s="736"/>
      <c r="D212" s="736"/>
      <c r="E212" s="736"/>
      <c r="F212" s="736"/>
      <c r="G212" s="748"/>
      <c r="H212" s="748"/>
      <c r="I212" s="748"/>
    </row>
    <row r="213" spans="1:9" ht="45">
      <c r="A213" s="979" t="s">
        <v>1489</v>
      </c>
      <c r="B213" s="979"/>
      <c r="C213" s="979"/>
      <c r="D213" s="979"/>
      <c r="E213" s="979"/>
      <c r="F213" s="979"/>
      <c r="G213" s="979"/>
      <c r="H213" s="979"/>
      <c r="I213" s="979"/>
    </row>
    <row r="214" spans="1:9" ht="20.100000000000001" customHeight="1">
      <c r="A214" s="65"/>
      <c r="B214" s="65"/>
      <c r="C214" s="65"/>
      <c r="D214" s="65"/>
      <c r="E214" s="65"/>
      <c r="F214" s="65"/>
      <c r="G214" s="68"/>
      <c r="H214" s="68"/>
      <c r="I214" s="68"/>
    </row>
    <row r="215" spans="1:9" ht="20.100000000000001" customHeight="1">
      <c r="A215" s="65"/>
      <c r="B215" s="65"/>
      <c r="C215" s="65"/>
      <c r="D215" s="65"/>
      <c r="E215" s="65"/>
      <c r="F215" s="65"/>
      <c r="G215" s="68"/>
      <c r="H215" s="68"/>
      <c r="I215" s="68"/>
    </row>
    <row r="216" spans="1:9" ht="20.100000000000001" customHeight="1">
      <c r="A216" s="979"/>
      <c r="B216" s="979"/>
      <c r="C216" s="979"/>
      <c r="D216" s="979"/>
      <c r="E216" s="979"/>
      <c r="F216" s="979"/>
      <c r="G216" s="979"/>
      <c r="H216" s="979"/>
      <c r="I216" s="979"/>
    </row>
    <row r="217" spans="1:9" s="848" customFormat="1" ht="50.25">
      <c r="A217" s="1029" t="s">
        <v>2379</v>
      </c>
      <c r="B217" s="1029"/>
      <c r="C217" s="1029"/>
      <c r="D217" s="1029"/>
      <c r="E217" s="1029"/>
      <c r="F217" s="1029"/>
      <c r="G217" s="1029"/>
      <c r="H217" s="1029"/>
      <c r="I217" s="1029"/>
    </row>
    <row r="218" spans="1:9" s="848" customFormat="1" ht="67.5" customHeight="1">
      <c r="A218" s="1055" t="s">
        <v>37</v>
      </c>
      <c r="B218" s="1056"/>
      <c r="C218" s="1031" t="s">
        <v>2216</v>
      </c>
      <c r="D218" s="1037" t="s">
        <v>14</v>
      </c>
      <c r="E218" s="1037" t="s">
        <v>440</v>
      </c>
      <c r="F218" s="1037" t="s">
        <v>16</v>
      </c>
      <c r="G218" s="1039" t="s">
        <v>1490</v>
      </c>
      <c r="H218" s="1039" t="s">
        <v>2454</v>
      </c>
      <c r="I218" s="1037" t="s">
        <v>200</v>
      </c>
    </row>
    <row r="219" spans="1:9" s="848" customFormat="1" ht="75" customHeight="1">
      <c r="A219" s="1057"/>
      <c r="B219" s="1058"/>
      <c r="C219" s="1034"/>
      <c r="D219" s="1038"/>
      <c r="E219" s="1038"/>
      <c r="F219" s="1038"/>
      <c r="G219" s="1039"/>
      <c r="H219" s="1039"/>
      <c r="I219" s="1038"/>
    </row>
    <row r="220" spans="1:9" s="848" customFormat="1" ht="64.5" customHeight="1">
      <c r="A220" s="1011" t="s">
        <v>273</v>
      </c>
      <c r="B220" s="1013"/>
      <c r="C220" s="773"/>
      <c r="D220" s="774"/>
      <c r="E220" s="709"/>
      <c r="F220" s="710"/>
      <c r="G220" s="545">
        <f>SUM(G221:G249)</f>
        <v>50265034.200000003</v>
      </c>
      <c r="H220" s="545">
        <f>SUM(H221:H249)</f>
        <v>33510022.800000001</v>
      </c>
      <c r="I220" s="545">
        <f>SUM(I221:I249)</f>
        <v>83775057</v>
      </c>
    </row>
    <row r="221" spans="1:9" ht="57.75" customHeight="1">
      <c r="A221" s="1014" t="s">
        <v>275</v>
      </c>
      <c r="B221" s="1016"/>
      <c r="C221" s="752" t="s">
        <v>2217</v>
      </c>
      <c r="D221" s="795" t="s">
        <v>980</v>
      </c>
      <c r="E221" s="711">
        <v>8100</v>
      </c>
      <c r="F221" s="712">
        <v>169711</v>
      </c>
      <c r="G221" s="737">
        <f>I221/10*6</f>
        <v>450000</v>
      </c>
      <c r="H221" s="737">
        <f>I221/10*4</f>
        <v>300000</v>
      </c>
      <c r="I221" s="737">
        <v>750000</v>
      </c>
    </row>
    <row r="222" spans="1:9" ht="57.75" customHeight="1">
      <c r="A222" s="1014" t="s">
        <v>41</v>
      </c>
      <c r="B222" s="1016"/>
      <c r="C222" s="752" t="s">
        <v>191</v>
      </c>
      <c r="D222" s="795" t="s">
        <v>972</v>
      </c>
      <c r="E222" s="711">
        <v>8100</v>
      </c>
      <c r="F222" s="712">
        <v>169711</v>
      </c>
      <c r="G222" s="737">
        <f t="shared" ref="G222:G249" si="3">I222/10*6</f>
        <v>60000</v>
      </c>
      <c r="H222" s="737">
        <f t="shared" ref="H222:H249" si="4">I222/10*4</f>
        <v>40000</v>
      </c>
      <c r="I222" s="737">
        <v>100000</v>
      </c>
    </row>
    <row r="223" spans="1:9" ht="57.75" customHeight="1">
      <c r="A223" s="1014" t="s">
        <v>1505</v>
      </c>
      <c r="B223" s="1016"/>
      <c r="C223" s="752" t="s">
        <v>191</v>
      </c>
      <c r="D223" s="795" t="s">
        <v>555</v>
      </c>
      <c r="E223" s="711">
        <v>8100</v>
      </c>
      <c r="F223" s="712">
        <v>169711</v>
      </c>
      <c r="G223" s="737">
        <f t="shared" si="3"/>
        <v>72000</v>
      </c>
      <c r="H223" s="737">
        <f t="shared" si="4"/>
        <v>48000</v>
      </c>
      <c r="I223" s="737">
        <v>120000</v>
      </c>
    </row>
    <row r="224" spans="1:9" ht="57.75" customHeight="1">
      <c r="A224" s="1014" t="s">
        <v>42</v>
      </c>
      <c r="B224" s="1016"/>
      <c r="C224" s="752" t="s">
        <v>191</v>
      </c>
      <c r="D224" s="823" t="s">
        <v>973</v>
      </c>
      <c r="E224" s="711">
        <v>8100</v>
      </c>
      <c r="F224" s="712">
        <v>169711</v>
      </c>
      <c r="G224" s="737">
        <f t="shared" si="3"/>
        <v>180000</v>
      </c>
      <c r="H224" s="737">
        <f t="shared" si="4"/>
        <v>120000</v>
      </c>
      <c r="I224" s="737">
        <v>300000</v>
      </c>
    </row>
    <row r="225" spans="1:9" ht="57.75" customHeight="1">
      <c r="A225" s="1014" t="s">
        <v>187</v>
      </c>
      <c r="B225" s="1016"/>
      <c r="C225" s="752" t="s">
        <v>191</v>
      </c>
      <c r="D225" s="795" t="s">
        <v>1128</v>
      </c>
      <c r="E225" s="711">
        <v>8100</v>
      </c>
      <c r="F225" s="712">
        <v>169711</v>
      </c>
      <c r="G225" s="737">
        <f t="shared" si="3"/>
        <v>67006.799999999988</v>
      </c>
      <c r="H225" s="737">
        <f t="shared" si="4"/>
        <v>44671.199999999997</v>
      </c>
      <c r="I225" s="737">
        <v>111678</v>
      </c>
    </row>
    <row r="226" spans="1:9" ht="57.75" customHeight="1">
      <c r="A226" s="1014" t="s">
        <v>1506</v>
      </c>
      <c r="B226" s="1016"/>
      <c r="C226" s="752" t="s">
        <v>191</v>
      </c>
      <c r="D226" s="795" t="s">
        <v>1105</v>
      </c>
      <c r="E226" s="711">
        <v>8100</v>
      </c>
      <c r="F226" s="712">
        <v>169711</v>
      </c>
      <c r="G226" s="737">
        <f t="shared" si="3"/>
        <v>360000</v>
      </c>
      <c r="H226" s="737">
        <f t="shared" si="4"/>
        <v>240000</v>
      </c>
      <c r="I226" s="737">
        <v>600000</v>
      </c>
    </row>
    <row r="227" spans="1:9" ht="57.75" customHeight="1">
      <c r="A227" s="1014" t="s">
        <v>381</v>
      </c>
      <c r="B227" s="1016"/>
      <c r="C227" s="752" t="s">
        <v>191</v>
      </c>
      <c r="D227" s="795" t="s">
        <v>1106</v>
      </c>
      <c r="E227" s="711">
        <v>8100</v>
      </c>
      <c r="F227" s="712">
        <v>169711</v>
      </c>
      <c r="G227" s="737">
        <f t="shared" si="3"/>
        <v>270000</v>
      </c>
      <c r="H227" s="737">
        <f t="shared" si="4"/>
        <v>180000</v>
      </c>
      <c r="I227" s="737">
        <v>450000</v>
      </c>
    </row>
    <row r="228" spans="1:9" ht="57.75" customHeight="1">
      <c r="A228" s="1014" t="s">
        <v>1493</v>
      </c>
      <c r="B228" s="1016"/>
      <c r="C228" s="752" t="s">
        <v>2217</v>
      </c>
      <c r="D228" s="795" t="s">
        <v>1093</v>
      </c>
      <c r="E228" s="711">
        <v>8100</v>
      </c>
      <c r="F228" s="712">
        <v>169711</v>
      </c>
      <c r="G228" s="737">
        <f t="shared" si="3"/>
        <v>210000</v>
      </c>
      <c r="H228" s="737">
        <f t="shared" si="4"/>
        <v>140000</v>
      </c>
      <c r="I228" s="737">
        <v>350000</v>
      </c>
    </row>
    <row r="229" spans="1:9" ht="57.75" customHeight="1">
      <c r="A229" s="1014" t="s">
        <v>1494</v>
      </c>
      <c r="B229" s="1016"/>
      <c r="C229" s="752" t="s">
        <v>80</v>
      </c>
      <c r="D229" s="795" t="s">
        <v>1304</v>
      </c>
      <c r="E229" s="711">
        <v>8100</v>
      </c>
      <c r="F229" s="712">
        <v>169711</v>
      </c>
      <c r="G229" s="737">
        <f t="shared" si="3"/>
        <v>120000</v>
      </c>
      <c r="H229" s="737">
        <f t="shared" si="4"/>
        <v>80000</v>
      </c>
      <c r="I229" s="737">
        <v>200000</v>
      </c>
    </row>
    <row r="230" spans="1:9" ht="57.75" customHeight="1">
      <c r="A230" s="1014" t="s">
        <v>1495</v>
      </c>
      <c r="B230" s="1016"/>
      <c r="C230" s="752" t="s">
        <v>2217</v>
      </c>
      <c r="D230" s="795" t="s">
        <v>1300</v>
      </c>
      <c r="E230" s="711">
        <v>8100</v>
      </c>
      <c r="F230" s="712">
        <v>169711</v>
      </c>
      <c r="G230" s="737">
        <f t="shared" si="3"/>
        <v>1361681.4</v>
      </c>
      <c r="H230" s="737">
        <f t="shared" si="4"/>
        <v>907787.6</v>
      </c>
      <c r="I230" s="737">
        <v>2269469</v>
      </c>
    </row>
    <row r="231" spans="1:9" ht="57.75" customHeight="1">
      <c r="A231" s="1014" t="s">
        <v>1496</v>
      </c>
      <c r="B231" s="1016"/>
      <c r="C231" s="752" t="s">
        <v>2217</v>
      </c>
      <c r="D231" s="795" t="s">
        <v>1301</v>
      </c>
      <c r="E231" s="711">
        <v>8100</v>
      </c>
      <c r="F231" s="712">
        <v>169711</v>
      </c>
      <c r="G231" s="737">
        <f t="shared" si="3"/>
        <v>480000</v>
      </c>
      <c r="H231" s="737">
        <f t="shared" si="4"/>
        <v>320000</v>
      </c>
      <c r="I231" s="737">
        <v>800000</v>
      </c>
    </row>
    <row r="232" spans="1:9" ht="57.75" customHeight="1">
      <c r="A232" s="1014" t="s">
        <v>1497</v>
      </c>
      <c r="B232" s="1016"/>
      <c r="C232" s="752" t="s">
        <v>2217</v>
      </c>
      <c r="D232" s="795" t="s">
        <v>1302</v>
      </c>
      <c r="E232" s="711">
        <v>8100</v>
      </c>
      <c r="F232" s="712">
        <v>169711</v>
      </c>
      <c r="G232" s="737">
        <f t="shared" si="3"/>
        <v>536763</v>
      </c>
      <c r="H232" s="737">
        <f t="shared" si="4"/>
        <v>357842</v>
      </c>
      <c r="I232" s="737">
        <v>894605</v>
      </c>
    </row>
    <row r="233" spans="1:9" ht="57.75" customHeight="1">
      <c r="A233" s="1014" t="s">
        <v>1498</v>
      </c>
      <c r="B233" s="1016"/>
      <c r="C233" s="752" t="s">
        <v>2217</v>
      </c>
      <c r="D233" s="795" t="s">
        <v>1303</v>
      </c>
      <c r="E233" s="711">
        <v>8100</v>
      </c>
      <c r="F233" s="712">
        <v>169711</v>
      </c>
      <c r="G233" s="737">
        <f t="shared" si="3"/>
        <v>480000</v>
      </c>
      <c r="H233" s="737">
        <f t="shared" si="4"/>
        <v>320000</v>
      </c>
      <c r="I233" s="737">
        <v>800000</v>
      </c>
    </row>
    <row r="234" spans="1:9" ht="57.75" customHeight="1">
      <c r="A234" s="1014" t="s">
        <v>1499</v>
      </c>
      <c r="B234" s="1016"/>
      <c r="C234" s="752" t="s">
        <v>2217</v>
      </c>
      <c r="D234" s="795" t="s">
        <v>979</v>
      </c>
      <c r="E234" s="711">
        <v>8100</v>
      </c>
      <c r="F234" s="712">
        <v>169711</v>
      </c>
      <c r="G234" s="737">
        <f t="shared" si="3"/>
        <v>390000</v>
      </c>
      <c r="H234" s="737">
        <f t="shared" si="4"/>
        <v>260000</v>
      </c>
      <c r="I234" s="737">
        <v>650000</v>
      </c>
    </row>
    <row r="235" spans="1:9" ht="57.75" customHeight="1">
      <c r="A235" s="1014" t="s">
        <v>1500</v>
      </c>
      <c r="B235" s="1016"/>
      <c r="C235" s="752" t="s">
        <v>2217</v>
      </c>
      <c r="D235" s="795" t="s">
        <v>1487</v>
      </c>
      <c r="E235" s="711">
        <v>8100</v>
      </c>
      <c r="F235" s="712">
        <v>169711</v>
      </c>
      <c r="G235" s="737">
        <f t="shared" si="3"/>
        <v>14778151.799999999</v>
      </c>
      <c r="H235" s="737">
        <f t="shared" si="4"/>
        <v>9852101.1999999993</v>
      </c>
      <c r="I235" s="737">
        <v>24630253</v>
      </c>
    </row>
    <row r="236" spans="1:9" ht="57.75" customHeight="1">
      <c r="A236" s="1014" t="s">
        <v>1501</v>
      </c>
      <c r="B236" s="1016"/>
      <c r="C236" s="752" t="s">
        <v>2217</v>
      </c>
      <c r="D236" s="795" t="s">
        <v>1298</v>
      </c>
      <c r="E236" s="711">
        <v>8100</v>
      </c>
      <c r="F236" s="712">
        <v>169711</v>
      </c>
      <c r="G236" s="737">
        <f t="shared" si="3"/>
        <v>489793.80000000005</v>
      </c>
      <c r="H236" s="737">
        <f t="shared" si="4"/>
        <v>326529.2</v>
      </c>
      <c r="I236" s="737">
        <v>816323</v>
      </c>
    </row>
    <row r="237" spans="1:9" ht="57.75" customHeight="1">
      <c r="A237" s="1014" t="s">
        <v>1502</v>
      </c>
      <c r="B237" s="1016"/>
      <c r="C237" s="752" t="s">
        <v>2217</v>
      </c>
      <c r="D237" s="795" t="s">
        <v>1299</v>
      </c>
      <c r="E237" s="711">
        <v>8100</v>
      </c>
      <c r="F237" s="712">
        <v>169711</v>
      </c>
      <c r="G237" s="737">
        <f t="shared" si="3"/>
        <v>1220578.2000000002</v>
      </c>
      <c r="H237" s="737">
        <f t="shared" si="4"/>
        <v>813718.8</v>
      </c>
      <c r="I237" s="737">
        <v>2034297</v>
      </c>
    </row>
    <row r="238" spans="1:9" ht="57.75" customHeight="1">
      <c r="A238" s="1014" t="s">
        <v>1340</v>
      </c>
      <c r="B238" s="1016"/>
      <c r="C238" s="752" t="s">
        <v>191</v>
      </c>
      <c r="D238" s="795" t="s">
        <v>1339</v>
      </c>
      <c r="E238" s="711">
        <v>8100</v>
      </c>
      <c r="F238" s="712">
        <v>169711</v>
      </c>
      <c r="G238" s="737">
        <f t="shared" si="3"/>
        <v>42000</v>
      </c>
      <c r="H238" s="737">
        <f t="shared" si="4"/>
        <v>28000</v>
      </c>
      <c r="I238" s="737">
        <v>70000</v>
      </c>
    </row>
    <row r="239" spans="1:9" ht="57.75" customHeight="1">
      <c r="A239" s="1014" t="s">
        <v>443</v>
      </c>
      <c r="B239" s="1016"/>
      <c r="C239" s="752" t="s">
        <v>191</v>
      </c>
      <c r="D239" s="795" t="s">
        <v>1107</v>
      </c>
      <c r="E239" s="711">
        <v>8100</v>
      </c>
      <c r="F239" s="712">
        <v>169711</v>
      </c>
      <c r="G239" s="737">
        <f t="shared" si="3"/>
        <v>90000</v>
      </c>
      <c r="H239" s="737">
        <f t="shared" si="4"/>
        <v>60000</v>
      </c>
      <c r="I239" s="737">
        <v>150000</v>
      </c>
    </row>
    <row r="240" spans="1:9" ht="57.75" customHeight="1">
      <c r="A240" s="1014" t="s">
        <v>1503</v>
      </c>
      <c r="B240" s="1016"/>
      <c r="C240" s="752" t="s">
        <v>2217</v>
      </c>
      <c r="D240" s="795" t="s">
        <v>2426</v>
      </c>
      <c r="E240" s="711">
        <v>8100</v>
      </c>
      <c r="F240" s="712">
        <v>169711</v>
      </c>
      <c r="G240" s="737">
        <f t="shared" si="3"/>
        <v>1770000</v>
      </c>
      <c r="H240" s="737">
        <f t="shared" si="4"/>
        <v>1180000</v>
      </c>
      <c r="I240" s="737">
        <v>2950000</v>
      </c>
    </row>
    <row r="241" spans="1:9" ht="66.75" customHeight="1">
      <c r="A241" s="1014" t="s">
        <v>1359</v>
      </c>
      <c r="B241" s="1016"/>
      <c r="C241" s="752" t="s">
        <v>2372</v>
      </c>
      <c r="D241" s="795" t="s">
        <v>1358</v>
      </c>
      <c r="E241" s="711">
        <v>8100</v>
      </c>
      <c r="F241" s="712">
        <v>169711</v>
      </c>
      <c r="G241" s="737">
        <f>I241/10*6</f>
        <v>75000</v>
      </c>
      <c r="H241" s="737">
        <f>I241/10*4</f>
        <v>50000</v>
      </c>
      <c r="I241" s="737">
        <v>125000</v>
      </c>
    </row>
    <row r="242" spans="1:9" ht="57.75" customHeight="1">
      <c r="A242" s="1014" t="s">
        <v>1508</v>
      </c>
      <c r="B242" s="1016"/>
      <c r="C242" s="752" t="s">
        <v>191</v>
      </c>
      <c r="D242" s="795" t="s">
        <v>2289</v>
      </c>
      <c r="E242" s="711">
        <v>8100</v>
      </c>
      <c r="F242" s="712">
        <v>169711</v>
      </c>
      <c r="G242" s="737">
        <f>I242/10*6</f>
        <v>2220</v>
      </c>
      <c r="H242" s="737">
        <f>I242/10*4</f>
        <v>1480</v>
      </c>
      <c r="I242" s="737">
        <v>3700</v>
      </c>
    </row>
    <row r="243" spans="1:9" ht="57.75" customHeight="1">
      <c r="A243" s="1014" t="s">
        <v>451</v>
      </c>
      <c r="B243" s="1016"/>
      <c r="C243" s="752" t="s">
        <v>80</v>
      </c>
      <c r="D243" s="795" t="s">
        <v>1013</v>
      </c>
      <c r="E243" s="779">
        <v>8100</v>
      </c>
      <c r="F243" s="712">
        <v>169711</v>
      </c>
      <c r="G243" s="737">
        <f>I243/10*6</f>
        <v>4059</v>
      </c>
      <c r="H243" s="737">
        <f>I243/10*4</f>
        <v>2706</v>
      </c>
      <c r="I243" s="737">
        <v>6765</v>
      </c>
    </row>
    <row r="244" spans="1:9" ht="57.75" customHeight="1">
      <c r="A244" s="1014" t="s">
        <v>1504</v>
      </c>
      <c r="B244" s="1016"/>
      <c r="C244" s="752" t="s">
        <v>2217</v>
      </c>
      <c r="D244" s="795" t="s">
        <v>1131</v>
      </c>
      <c r="E244" s="711">
        <v>8100</v>
      </c>
      <c r="F244" s="712">
        <v>169711</v>
      </c>
      <c r="G244" s="737">
        <f t="shared" si="3"/>
        <v>7606780.1999999993</v>
      </c>
      <c r="H244" s="737">
        <f t="shared" si="4"/>
        <v>5071186.8</v>
      </c>
      <c r="I244" s="737">
        <v>12677967</v>
      </c>
    </row>
    <row r="245" spans="1:9" ht="57.75" customHeight="1">
      <c r="A245" s="1014" t="s">
        <v>186</v>
      </c>
      <c r="B245" s="1016"/>
      <c r="C245" s="752" t="s">
        <v>191</v>
      </c>
      <c r="D245" s="795" t="s">
        <v>863</v>
      </c>
      <c r="E245" s="711">
        <v>8100</v>
      </c>
      <c r="F245" s="712">
        <v>169711</v>
      </c>
      <c r="G245" s="737">
        <f t="shared" si="3"/>
        <v>2520000</v>
      </c>
      <c r="H245" s="737">
        <f t="shared" si="4"/>
        <v>1680000</v>
      </c>
      <c r="I245" s="737">
        <v>4200000</v>
      </c>
    </row>
    <row r="246" spans="1:9" ht="57.75" customHeight="1">
      <c r="A246" s="1014" t="s">
        <v>701</v>
      </c>
      <c r="B246" s="1016"/>
      <c r="C246" s="752" t="s">
        <v>191</v>
      </c>
      <c r="D246" s="795" t="s">
        <v>864</v>
      </c>
      <c r="E246" s="711">
        <v>8100</v>
      </c>
      <c r="F246" s="712">
        <v>169711</v>
      </c>
      <c r="G246" s="737">
        <f t="shared" si="3"/>
        <v>360000</v>
      </c>
      <c r="H246" s="737">
        <f t="shared" si="4"/>
        <v>240000</v>
      </c>
      <c r="I246" s="737">
        <v>600000</v>
      </c>
    </row>
    <row r="247" spans="1:9" ht="57.75" customHeight="1">
      <c r="A247" s="1014" t="s">
        <v>946</v>
      </c>
      <c r="B247" s="1016"/>
      <c r="C247" s="752" t="s">
        <v>2217</v>
      </c>
      <c r="D247" s="795" t="s">
        <v>1307</v>
      </c>
      <c r="E247" s="711">
        <v>8100</v>
      </c>
      <c r="F247" s="712">
        <v>169711</v>
      </c>
      <c r="G247" s="737">
        <f t="shared" si="3"/>
        <v>16200000</v>
      </c>
      <c r="H247" s="737">
        <f t="shared" si="4"/>
        <v>10800000</v>
      </c>
      <c r="I247" s="737">
        <v>27000000</v>
      </c>
    </row>
    <row r="248" spans="1:9" ht="57.75" customHeight="1">
      <c r="A248" s="1014" t="s">
        <v>519</v>
      </c>
      <c r="B248" s="1016"/>
      <c r="C248" s="752" t="s">
        <v>2217</v>
      </c>
      <c r="D248" s="795" t="s">
        <v>1094</v>
      </c>
      <c r="E248" s="711">
        <v>8100</v>
      </c>
      <c r="F248" s="712">
        <v>169711</v>
      </c>
      <c r="G248" s="737">
        <f t="shared" si="3"/>
        <v>48000</v>
      </c>
      <c r="H248" s="737">
        <f t="shared" si="4"/>
        <v>32000</v>
      </c>
      <c r="I248" s="737">
        <v>80000</v>
      </c>
    </row>
    <row r="249" spans="1:9" ht="57.75" customHeight="1">
      <c r="A249" s="1014" t="s">
        <v>486</v>
      </c>
      <c r="B249" s="1016"/>
      <c r="C249" s="752" t="s">
        <v>2217</v>
      </c>
      <c r="D249" s="795" t="s">
        <v>1308</v>
      </c>
      <c r="E249" s="711">
        <v>8100</v>
      </c>
      <c r="F249" s="712">
        <v>169711</v>
      </c>
      <c r="G249" s="737">
        <f t="shared" si="3"/>
        <v>21000</v>
      </c>
      <c r="H249" s="737">
        <f t="shared" si="4"/>
        <v>14000</v>
      </c>
      <c r="I249" s="737">
        <v>35000</v>
      </c>
    </row>
    <row r="250" spans="1:9" s="848" customFormat="1" ht="64.5" customHeight="1">
      <c r="A250" s="1064" t="s">
        <v>312</v>
      </c>
      <c r="B250" s="1065"/>
      <c r="C250" s="1011"/>
      <c r="D250" s="1013"/>
      <c r="E250" s="709"/>
      <c r="F250" s="710"/>
      <c r="G250" s="545">
        <f>SUM(G251:G255)</f>
        <v>843242.4</v>
      </c>
      <c r="H250" s="545">
        <f>SUM(H251:H255)</f>
        <v>562161.6</v>
      </c>
      <c r="I250" s="545">
        <f>SUM(I251:I255)</f>
        <v>1405404</v>
      </c>
    </row>
    <row r="251" spans="1:9" ht="57.75" customHeight="1">
      <c r="A251" s="1014" t="s">
        <v>1507</v>
      </c>
      <c r="B251" s="1016"/>
      <c r="C251" s="752" t="s">
        <v>2250</v>
      </c>
      <c r="D251" s="788" t="s">
        <v>2290</v>
      </c>
      <c r="E251" s="711">
        <v>8100</v>
      </c>
      <c r="F251" s="712">
        <v>169711</v>
      </c>
      <c r="G251" s="737">
        <f>I251/10*6</f>
        <v>8042.4000000000005</v>
      </c>
      <c r="H251" s="737">
        <f>I251/10*4</f>
        <v>5361.6</v>
      </c>
      <c r="I251" s="737">
        <v>13404</v>
      </c>
    </row>
    <row r="252" spans="1:9" ht="57.75" customHeight="1">
      <c r="A252" s="1014" t="s">
        <v>1354</v>
      </c>
      <c r="B252" s="1016"/>
      <c r="C252" s="752" t="s">
        <v>80</v>
      </c>
      <c r="D252" s="788" t="s">
        <v>2291</v>
      </c>
      <c r="E252" s="779">
        <v>8100</v>
      </c>
      <c r="F252" s="712">
        <v>169711</v>
      </c>
      <c r="G252" s="737">
        <f>I252/10*6</f>
        <v>50400</v>
      </c>
      <c r="H252" s="737">
        <f>I252/10*4</f>
        <v>33600</v>
      </c>
      <c r="I252" s="737">
        <v>84000</v>
      </c>
    </row>
    <row r="253" spans="1:9" ht="57.75" customHeight="1">
      <c r="A253" s="1014" t="s">
        <v>1355</v>
      </c>
      <c r="B253" s="1016"/>
      <c r="C253" s="752" t="s">
        <v>80</v>
      </c>
      <c r="D253" s="788" t="s">
        <v>2292</v>
      </c>
      <c r="E253" s="779">
        <v>8100</v>
      </c>
      <c r="F253" s="712">
        <v>169711</v>
      </c>
      <c r="G253" s="737">
        <f>I253/10*6</f>
        <v>28800</v>
      </c>
      <c r="H253" s="737">
        <f>I253/10*4</f>
        <v>19200</v>
      </c>
      <c r="I253" s="737">
        <v>48000</v>
      </c>
    </row>
    <row r="254" spans="1:9" ht="57.75" customHeight="1">
      <c r="A254" s="1014" t="s">
        <v>1261</v>
      </c>
      <c r="B254" s="1016"/>
      <c r="C254" s="752" t="s">
        <v>80</v>
      </c>
      <c r="D254" s="788" t="s">
        <v>2293</v>
      </c>
      <c r="E254" s="779">
        <v>8100</v>
      </c>
      <c r="F254" s="712">
        <v>169711</v>
      </c>
      <c r="G254" s="737">
        <f>I254/10*6</f>
        <v>288000</v>
      </c>
      <c r="H254" s="737">
        <f>I254/10*4</f>
        <v>192000</v>
      </c>
      <c r="I254" s="737">
        <v>480000</v>
      </c>
    </row>
    <row r="255" spans="1:9" ht="57.75" customHeight="1">
      <c r="A255" s="1014" t="s">
        <v>818</v>
      </c>
      <c r="B255" s="1016"/>
      <c r="C255" s="752" t="s">
        <v>80</v>
      </c>
      <c r="D255" s="788" t="s">
        <v>2294</v>
      </c>
      <c r="E255" s="779">
        <v>8100</v>
      </c>
      <c r="F255" s="712">
        <v>169711</v>
      </c>
      <c r="G255" s="737">
        <f>I255/10*6</f>
        <v>468000</v>
      </c>
      <c r="H255" s="737">
        <f>I255/10*4</f>
        <v>312000</v>
      </c>
      <c r="I255" s="737">
        <v>780000</v>
      </c>
    </row>
    <row r="256" spans="1:9" s="848" customFormat="1" ht="66.75" customHeight="1">
      <c r="A256" s="1011" t="s">
        <v>1492</v>
      </c>
      <c r="B256" s="1012"/>
      <c r="C256" s="1013"/>
      <c r="D256" s="708"/>
      <c r="E256" s="709"/>
      <c r="F256" s="710"/>
      <c r="G256" s="545">
        <f>SUM(G257:G260)</f>
        <v>89321</v>
      </c>
      <c r="H256" s="545">
        <f>SUM(H257:H260)</f>
        <v>59106</v>
      </c>
      <c r="I256" s="545">
        <f>G256+H256</f>
        <v>148427</v>
      </c>
    </row>
    <row r="257" spans="1:9" ht="66" customHeight="1">
      <c r="A257" s="1014" t="s">
        <v>423</v>
      </c>
      <c r="B257" s="1016"/>
      <c r="C257" s="752" t="s">
        <v>191</v>
      </c>
      <c r="D257" s="795" t="s">
        <v>1091</v>
      </c>
      <c r="E257" s="713" t="s">
        <v>1321</v>
      </c>
      <c r="F257" s="712">
        <v>149343</v>
      </c>
      <c r="G257" s="737">
        <f>60000-4121</f>
        <v>55879</v>
      </c>
      <c r="H257" s="737">
        <f>40000-894</f>
        <v>39106</v>
      </c>
      <c r="I257" s="717">
        <f>G257+H257</f>
        <v>94985</v>
      </c>
    </row>
    <row r="258" spans="1:9" ht="66" customHeight="1">
      <c r="A258" s="1014" t="s">
        <v>713</v>
      </c>
      <c r="B258" s="1016"/>
      <c r="C258" s="752" t="s">
        <v>191</v>
      </c>
      <c r="D258" s="795" t="s">
        <v>1092</v>
      </c>
      <c r="E258" s="713" t="s">
        <v>1321</v>
      </c>
      <c r="F258" s="712">
        <v>149343</v>
      </c>
      <c r="G258" s="737">
        <f>I258/10*6</f>
        <v>30000</v>
      </c>
      <c r="H258" s="737">
        <f>I258/10*4</f>
        <v>20000</v>
      </c>
      <c r="I258" s="737">
        <v>50000</v>
      </c>
    </row>
    <row r="259" spans="1:9" ht="23.25" customHeight="1">
      <c r="A259" s="806"/>
      <c r="B259" s="808"/>
      <c r="C259" s="752"/>
      <c r="D259" s="801"/>
      <c r="E259" s="804"/>
      <c r="F259" s="712"/>
      <c r="G259" s="737"/>
      <c r="H259" s="737"/>
      <c r="I259" s="717"/>
    </row>
    <row r="260" spans="1:9" ht="66" customHeight="1">
      <c r="A260" s="1004" t="s">
        <v>2503</v>
      </c>
      <c r="B260" s="1006"/>
      <c r="C260" s="885" t="s">
        <v>191</v>
      </c>
      <c r="D260" s="810"/>
      <c r="E260" s="812"/>
      <c r="F260" s="851"/>
      <c r="G260" s="813">
        <v>3442</v>
      </c>
      <c r="H260" s="813"/>
      <c r="I260" s="813">
        <f>G260+H260</f>
        <v>3442</v>
      </c>
    </row>
    <row r="261" spans="1:9" s="848" customFormat="1" ht="66.75" customHeight="1">
      <c r="A261" s="1011" t="s">
        <v>954</v>
      </c>
      <c r="B261" s="1012"/>
      <c r="C261" s="1013"/>
      <c r="D261" s="708"/>
      <c r="E261" s="709"/>
      <c r="F261" s="710"/>
      <c r="G261" s="545">
        <f>SUM(G262:G264)</f>
        <v>5954</v>
      </c>
      <c r="H261" s="545">
        <f>SUM(H262:H264)</f>
        <v>3940</v>
      </c>
      <c r="I261" s="545">
        <f>G261+H261</f>
        <v>9894</v>
      </c>
    </row>
    <row r="262" spans="1:9" ht="66.75" customHeight="1">
      <c r="A262" s="1014" t="s">
        <v>952</v>
      </c>
      <c r="B262" s="1016"/>
      <c r="C262" s="752" t="s">
        <v>211</v>
      </c>
      <c r="D262" s="795" t="s">
        <v>1185</v>
      </c>
      <c r="E262" s="711">
        <v>8100</v>
      </c>
      <c r="F262" s="971" t="s">
        <v>1260</v>
      </c>
      <c r="G262" s="737">
        <v>5725</v>
      </c>
      <c r="H262" s="737">
        <v>3940</v>
      </c>
      <c r="I262" s="737">
        <f>G262+H262</f>
        <v>9665</v>
      </c>
    </row>
    <row r="263" spans="1:9" ht="23.25" customHeight="1">
      <c r="A263" s="686"/>
      <c r="B263" s="686"/>
      <c r="C263" s="687"/>
      <c r="D263" s="687"/>
      <c r="E263" s="687"/>
      <c r="F263" s="687"/>
      <c r="G263" s="686"/>
      <c r="H263" s="686"/>
      <c r="I263" s="686"/>
    </row>
    <row r="264" spans="1:9" ht="66.75" customHeight="1">
      <c r="A264" s="1004" t="s">
        <v>2504</v>
      </c>
      <c r="B264" s="1006"/>
      <c r="C264" s="885" t="s">
        <v>211</v>
      </c>
      <c r="D264" s="810"/>
      <c r="E264" s="811"/>
      <c r="F264" s="812"/>
      <c r="G264" s="813">
        <v>229</v>
      </c>
      <c r="H264" s="813"/>
      <c r="I264" s="813">
        <f>G264+H264</f>
        <v>229</v>
      </c>
    </row>
    <row r="265" spans="1:9" ht="38.25" customHeight="1">
      <c r="A265" s="686"/>
      <c r="B265" s="686"/>
      <c r="C265" s="687"/>
      <c r="D265" s="687"/>
      <c r="E265" s="687"/>
      <c r="F265" s="687"/>
      <c r="G265" s="686"/>
      <c r="H265" s="686"/>
      <c r="I265" s="686"/>
    </row>
    <row r="266" spans="1:9" ht="60" customHeight="1">
      <c r="A266" s="1017" t="s">
        <v>200</v>
      </c>
      <c r="B266" s="1018"/>
      <c r="C266" s="1018"/>
      <c r="D266" s="1018"/>
      <c r="E266" s="1018"/>
      <c r="F266" s="1018"/>
      <c r="G266" s="688">
        <f>G220+G250+G256+G261</f>
        <v>51203551.600000001</v>
      </c>
      <c r="H266" s="688">
        <f>H220+H250+H256+H261</f>
        <v>34135230.399999999</v>
      </c>
      <c r="I266" s="688">
        <f>G266+H266</f>
        <v>85338782</v>
      </c>
    </row>
    <row r="267" spans="1:9" ht="72" customHeight="1">
      <c r="A267" s="1041" t="s">
        <v>2455</v>
      </c>
      <c r="B267" s="1041"/>
      <c r="C267" s="1042"/>
      <c r="D267" s="1042"/>
      <c r="E267" s="1042"/>
      <c r="F267" s="1042"/>
      <c r="G267" s="1042"/>
      <c r="H267" s="1042"/>
      <c r="I267" s="1042"/>
    </row>
    <row r="268" spans="1:9" ht="42" customHeight="1">
      <c r="A268" s="1041" t="s">
        <v>2456</v>
      </c>
      <c r="B268" s="1041"/>
      <c r="C268" s="1042"/>
      <c r="D268" s="1042"/>
      <c r="E268" s="1042"/>
      <c r="F268" s="1042"/>
      <c r="G268" s="1042"/>
      <c r="H268" s="1042"/>
      <c r="I268" s="1042"/>
    </row>
    <row r="269" spans="1:9" ht="44.25" customHeight="1">
      <c r="A269" s="979" t="s">
        <v>2493</v>
      </c>
      <c r="B269" s="979"/>
      <c r="C269" s="979"/>
      <c r="D269" s="979"/>
      <c r="E269" s="979"/>
      <c r="F269" s="979"/>
      <c r="G269" s="979"/>
      <c r="H269" s="979"/>
      <c r="I269" s="979"/>
    </row>
    <row r="270" spans="1:9" ht="44.25" customHeight="1">
      <c r="A270" s="979" t="s">
        <v>52</v>
      </c>
      <c r="B270" s="979"/>
      <c r="C270" s="979"/>
      <c r="D270" s="979"/>
      <c r="E270" s="979"/>
      <c r="F270" s="979"/>
      <c r="G270" s="979"/>
      <c r="H270" s="979"/>
      <c r="I270" s="979"/>
    </row>
    <row r="271" spans="1:9" ht="44.25" customHeight="1">
      <c r="A271" s="979" t="s">
        <v>50</v>
      </c>
      <c r="B271" s="979"/>
      <c r="C271" s="979"/>
      <c r="D271" s="979"/>
      <c r="E271" s="979"/>
      <c r="F271" s="979"/>
      <c r="G271" s="979"/>
      <c r="H271" s="979"/>
      <c r="I271" s="979"/>
    </row>
    <row r="272" spans="1:9" ht="44.25" customHeight="1">
      <c r="A272" s="979"/>
      <c r="B272" s="979"/>
      <c r="C272" s="979"/>
      <c r="D272" s="979"/>
      <c r="E272" s="979"/>
      <c r="F272" s="979"/>
      <c r="G272" s="979"/>
      <c r="H272" s="979"/>
      <c r="I272" s="979"/>
    </row>
    <row r="273" spans="1:9" ht="44.25" customHeight="1">
      <c r="A273" s="979" t="s">
        <v>1489</v>
      </c>
      <c r="B273" s="979"/>
      <c r="C273" s="979"/>
      <c r="D273" s="979"/>
      <c r="E273" s="979"/>
      <c r="F273" s="979"/>
      <c r="G273" s="979"/>
      <c r="H273" s="979"/>
      <c r="I273" s="979"/>
    </row>
    <row r="274" spans="1:9" ht="20.100000000000001" customHeight="1">
      <c r="A274" s="65"/>
      <c r="B274" s="65"/>
      <c r="C274" s="65"/>
      <c r="D274" s="65"/>
      <c r="E274" s="65"/>
      <c r="F274" s="65"/>
      <c r="G274" s="68"/>
      <c r="H274" s="68"/>
      <c r="I274" s="68"/>
    </row>
    <row r="275" spans="1:9" ht="20.100000000000001" customHeight="1">
      <c r="A275" s="65"/>
      <c r="B275" s="65"/>
      <c r="C275" s="65"/>
      <c r="D275" s="65"/>
      <c r="E275" s="65"/>
      <c r="F275" s="65"/>
      <c r="G275" s="68"/>
      <c r="H275" s="68"/>
      <c r="I275" s="68"/>
    </row>
    <row r="276" spans="1:9" ht="20.100000000000001" customHeight="1">
      <c r="A276" s="979"/>
      <c r="B276" s="979"/>
      <c r="C276" s="979"/>
      <c r="D276" s="979"/>
      <c r="E276" s="979"/>
      <c r="F276" s="979"/>
      <c r="G276" s="979"/>
      <c r="H276" s="979"/>
      <c r="I276" s="979"/>
    </row>
    <row r="277" spans="1:9" s="848" customFormat="1" ht="50.25">
      <c r="A277" s="1029" t="s">
        <v>1366</v>
      </c>
      <c r="B277" s="1029"/>
      <c r="C277" s="1029"/>
      <c r="D277" s="1029"/>
      <c r="E277" s="1029"/>
      <c r="F277" s="1029"/>
      <c r="G277" s="1029"/>
      <c r="H277" s="1029"/>
      <c r="I277" s="1029"/>
    </row>
    <row r="278" spans="1:9" s="848" customFormat="1" ht="68.25" customHeight="1">
      <c r="A278" s="1031" t="s">
        <v>37</v>
      </c>
      <c r="B278" s="1032"/>
      <c r="C278" s="1033"/>
      <c r="D278" s="1037" t="s">
        <v>14</v>
      </c>
      <c r="E278" s="1037" t="s">
        <v>1515</v>
      </c>
      <c r="F278" s="1037" t="s">
        <v>16</v>
      </c>
      <c r="G278" s="1039" t="s">
        <v>1490</v>
      </c>
      <c r="H278" s="1039" t="s">
        <v>2454</v>
      </c>
      <c r="I278" s="1037" t="s">
        <v>200</v>
      </c>
    </row>
    <row r="279" spans="1:9" s="848" customFormat="1" ht="75.75" customHeight="1">
      <c r="A279" s="1034"/>
      <c r="B279" s="1035"/>
      <c r="C279" s="1036"/>
      <c r="D279" s="1038"/>
      <c r="E279" s="1038"/>
      <c r="F279" s="1038"/>
      <c r="G279" s="1039"/>
      <c r="H279" s="1039"/>
      <c r="I279" s="1038"/>
    </row>
    <row r="280" spans="1:9" s="848" customFormat="1" ht="66.75" customHeight="1">
      <c r="A280" s="1011" t="s">
        <v>273</v>
      </c>
      <c r="B280" s="1012"/>
      <c r="C280" s="1013"/>
      <c r="D280" s="708"/>
      <c r="E280" s="709"/>
      <c r="F280" s="710"/>
      <c r="G280" s="545">
        <f>SUM(G281:G282)</f>
        <v>351628.2</v>
      </c>
      <c r="H280" s="545">
        <f>SUM(H281:H282)</f>
        <v>234418.8</v>
      </c>
      <c r="I280" s="545">
        <f>G280+H280</f>
        <v>586047</v>
      </c>
    </row>
    <row r="281" spans="1:9" ht="66.75" customHeight="1">
      <c r="A281" s="1014" t="s">
        <v>372</v>
      </c>
      <c r="B281" s="1015"/>
      <c r="C281" s="1016"/>
      <c r="D281" s="795" t="s">
        <v>1108</v>
      </c>
      <c r="E281" s="711">
        <v>8100</v>
      </c>
      <c r="F281" s="712">
        <v>169711</v>
      </c>
      <c r="G281" s="737">
        <f>I281/10*6</f>
        <v>141628.20000000001</v>
      </c>
      <c r="H281" s="737">
        <f>I281/10*4</f>
        <v>94418.8</v>
      </c>
      <c r="I281" s="737">
        <v>236047</v>
      </c>
    </row>
    <row r="282" spans="1:9" ht="68.25" customHeight="1">
      <c r="A282" s="1014" t="s">
        <v>815</v>
      </c>
      <c r="B282" s="1015"/>
      <c r="C282" s="1016"/>
      <c r="D282" s="795" t="s">
        <v>1109</v>
      </c>
      <c r="E282" s="711">
        <v>8100</v>
      </c>
      <c r="F282" s="712">
        <v>169711</v>
      </c>
      <c r="G282" s="737">
        <f>I282/10*6</f>
        <v>210000</v>
      </c>
      <c r="H282" s="737">
        <f>I282/10*4</f>
        <v>140000</v>
      </c>
      <c r="I282" s="737">
        <v>350000</v>
      </c>
    </row>
    <row r="283" spans="1:9" s="848" customFormat="1" ht="66.75" customHeight="1">
      <c r="A283" s="1011" t="s">
        <v>278</v>
      </c>
      <c r="B283" s="1012"/>
      <c r="C283" s="1013"/>
      <c r="D283" s="708"/>
      <c r="E283" s="709"/>
      <c r="F283" s="710"/>
      <c r="G283" s="545">
        <f>G284</f>
        <v>72000</v>
      </c>
      <c r="H283" s="545">
        <f>H284</f>
        <v>48000</v>
      </c>
      <c r="I283" s="545">
        <f>G283+H283</f>
        <v>120000</v>
      </c>
    </row>
    <row r="284" spans="1:9" ht="66.75" customHeight="1">
      <c r="A284" s="1014" t="s">
        <v>139</v>
      </c>
      <c r="B284" s="1015"/>
      <c r="C284" s="1016"/>
      <c r="D284" s="788" t="s">
        <v>2295</v>
      </c>
      <c r="E284" s="711">
        <v>8100</v>
      </c>
      <c r="F284" s="794" t="s">
        <v>2445</v>
      </c>
      <c r="G284" s="737">
        <f>I284/10*6</f>
        <v>72000</v>
      </c>
      <c r="H284" s="737">
        <f>I284/10*4</f>
        <v>48000</v>
      </c>
      <c r="I284" s="737">
        <v>120000</v>
      </c>
    </row>
    <row r="285" spans="1:9" ht="42" hidden="1" customHeight="1">
      <c r="A285" s="722"/>
      <c r="B285" s="722"/>
      <c r="C285" s="723" t="s">
        <v>274</v>
      </c>
      <c r="D285" s="723"/>
      <c r="E285" s="723"/>
      <c r="F285" s="723"/>
      <c r="G285" s="685" t="e">
        <f>SUM(G286:G288)</f>
        <v>#REF!</v>
      </c>
      <c r="H285" s="685" t="e">
        <f>SUM(H286:H288)</f>
        <v>#REF!</v>
      </c>
      <c r="I285" s="685" t="e">
        <f>SUM(I286:I288)</f>
        <v>#REF!</v>
      </c>
    </row>
    <row r="286" spans="1:9" ht="50.25" hidden="1" customHeight="1">
      <c r="A286" s="724"/>
      <c r="B286" s="724"/>
      <c r="C286" s="721" t="s">
        <v>842</v>
      </c>
      <c r="D286" s="721"/>
      <c r="E286" s="719">
        <v>112</v>
      </c>
      <c r="F286" s="720" t="s">
        <v>795</v>
      </c>
      <c r="G286" s="684" t="e">
        <f>INT(#REF!*#REF!)</f>
        <v>#REF!</v>
      </c>
      <c r="H286" s="684" t="e">
        <f>INT(#REF!*#REF!)</f>
        <v>#REF!</v>
      </c>
      <c r="I286" s="684" t="e">
        <f>SUM(H286:H286)</f>
        <v>#REF!</v>
      </c>
    </row>
    <row r="287" spans="1:9" ht="57" hidden="1" customHeight="1">
      <c r="A287" s="724"/>
      <c r="B287" s="724"/>
      <c r="C287" s="718" t="s">
        <v>844</v>
      </c>
      <c r="D287" s="718"/>
      <c r="E287" s="719">
        <v>112</v>
      </c>
      <c r="F287" s="720" t="s">
        <v>795</v>
      </c>
      <c r="G287" s="684" t="e">
        <f>INT(#REF!*#REF!)</f>
        <v>#REF!</v>
      </c>
      <c r="H287" s="684" t="e">
        <f>INT(#REF!*#REF!)</f>
        <v>#REF!</v>
      </c>
      <c r="I287" s="684" t="e">
        <f>SUM(H287:H287)</f>
        <v>#REF!</v>
      </c>
    </row>
    <row r="288" spans="1:9" ht="57" hidden="1" customHeight="1">
      <c r="A288" s="724"/>
      <c r="B288" s="724"/>
      <c r="C288" s="718" t="s">
        <v>384</v>
      </c>
      <c r="D288" s="718"/>
      <c r="E288" s="719">
        <v>112</v>
      </c>
      <c r="F288" s="720" t="s">
        <v>795</v>
      </c>
      <c r="G288" s="684" t="e">
        <f>INT(#REF!*#REF!)</f>
        <v>#REF!</v>
      </c>
      <c r="H288" s="684" t="e">
        <f>INT(#REF!*#REF!)</f>
        <v>#REF!</v>
      </c>
      <c r="I288" s="684" t="e">
        <f>SUM(H288:H288)</f>
        <v>#REF!</v>
      </c>
    </row>
    <row r="289" spans="1:9" ht="38.25" customHeight="1">
      <c r="A289" s="686"/>
      <c r="B289" s="686"/>
      <c r="C289" s="687"/>
      <c r="D289" s="687"/>
      <c r="E289" s="687"/>
      <c r="F289" s="687"/>
      <c r="G289" s="686"/>
      <c r="H289" s="686"/>
      <c r="I289" s="686"/>
    </row>
    <row r="290" spans="1:9" ht="60" customHeight="1">
      <c r="A290" s="1017" t="s">
        <v>200</v>
      </c>
      <c r="B290" s="1018"/>
      <c r="C290" s="1018"/>
      <c r="D290" s="1018"/>
      <c r="E290" s="1018"/>
      <c r="F290" s="1018"/>
      <c r="G290" s="688">
        <f>G280+G283</f>
        <v>423628.2</v>
      </c>
      <c r="H290" s="688">
        <f>H280+H283</f>
        <v>282418.8</v>
      </c>
      <c r="I290" s="688">
        <f>G290+H290</f>
        <v>706047</v>
      </c>
    </row>
    <row r="291" spans="1:9" ht="72" customHeight="1">
      <c r="A291" s="1041" t="s">
        <v>2455</v>
      </c>
      <c r="B291" s="1041"/>
      <c r="C291" s="1042"/>
      <c r="D291" s="1042"/>
      <c r="E291" s="1042"/>
      <c r="F291" s="1042"/>
      <c r="G291" s="1042"/>
      <c r="H291" s="1042"/>
      <c r="I291" s="1042"/>
    </row>
    <row r="292" spans="1:9" ht="20.100000000000001" customHeight="1">
      <c r="A292" s="65"/>
      <c r="B292" s="65"/>
      <c r="C292" s="10"/>
      <c r="D292" s="10"/>
      <c r="E292" s="10"/>
      <c r="F292" s="10"/>
      <c r="G292" s="68"/>
      <c r="H292" s="68"/>
      <c r="I292" s="68"/>
    </row>
    <row r="293" spans="1:9" ht="30" customHeight="1">
      <c r="A293" s="65"/>
      <c r="B293" s="65"/>
      <c r="C293" s="10"/>
      <c r="D293" s="10"/>
      <c r="E293" s="10"/>
      <c r="F293" s="10"/>
      <c r="G293" s="68"/>
      <c r="H293" s="68"/>
      <c r="I293" s="68"/>
    </row>
    <row r="294" spans="1:9" s="848" customFormat="1" ht="50.25">
      <c r="A294" s="1030" t="s">
        <v>1367</v>
      </c>
      <c r="B294" s="1030"/>
      <c r="C294" s="1030"/>
      <c r="D294" s="1030"/>
      <c r="E294" s="1030"/>
      <c r="F294" s="1030"/>
      <c r="G294" s="1030"/>
      <c r="H294" s="1030"/>
      <c r="I294" s="1030"/>
    </row>
    <row r="295" spans="1:9" s="848" customFormat="1" ht="68.25" customHeight="1">
      <c r="A295" s="1031" t="s">
        <v>37</v>
      </c>
      <c r="B295" s="1032"/>
      <c r="C295" s="1033"/>
      <c r="D295" s="1037" t="s">
        <v>14</v>
      </c>
      <c r="E295" s="1037" t="s">
        <v>1515</v>
      </c>
      <c r="F295" s="1037" t="s">
        <v>16</v>
      </c>
      <c r="G295" s="1039" t="s">
        <v>1490</v>
      </c>
      <c r="H295" s="1039" t="s">
        <v>2454</v>
      </c>
      <c r="I295" s="1037" t="s">
        <v>200</v>
      </c>
    </row>
    <row r="296" spans="1:9" s="848" customFormat="1" ht="75.75" customHeight="1">
      <c r="A296" s="1034"/>
      <c r="B296" s="1035"/>
      <c r="C296" s="1036"/>
      <c r="D296" s="1038"/>
      <c r="E296" s="1038"/>
      <c r="F296" s="1038"/>
      <c r="G296" s="1039"/>
      <c r="H296" s="1039"/>
      <c r="I296" s="1038"/>
    </row>
    <row r="297" spans="1:9" s="848" customFormat="1" ht="66.75" customHeight="1">
      <c r="A297" s="1011" t="s">
        <v>273</v>
      </c>
      <c r="B297" s="1012"/>
      <c r="C297" s="1013"/>
      <c r="D297" s="708"/>
      <c r="E297" s="709"/>
      <c r="F297" s="710"/>
      <c r="G297" s="545">
        <f>SUM(G298:G302)</f>
        <v>252000</v>
      </c>
      <c r="H297" s="545">
        <f>SUM(H298:H302)</f>
        <v>168000</v>
      </c>
      <c r="I297" s="545">
        <f>G297+H297</f>
        <v>420000</v>
      </c>
    </row>
    <row r="298" spans="1:9" ht="66.75" customHeight="1">
      <c r="A298" s="1020" t="s">
        <v>2218</v>
      </c>
      <c r="B298" s="1021"/>
      <c r="C298" s="1022"/>
      <c r="D298" s="795" t="s">
        <v>1297</v>
      </c>
      <c r="E298" s="711">
        <v>8100</v>
      </c>
      <c r="F298" s="712">
        <v>169711</v>
      </c>
      <c r="G298" s="737">
        <f>I298/10*6</f>
        <v>30000</v>
      </c>
      <c r="H298" s="737">
        <f>I298/10*4</f>
        <v>20000</v>
      </c>
      <c r="I298" s="737">
        <v>50000</v>
      </c>
    </row>
    <row r="299" spans="1:9" ht="68.25" customHeight="1">
      <c r="A299" s="1014" t="s">
        <v>4</v>
      </c>
      <c r="B299" s="1015"/>
      <c r="C299" s="1016"/>
      <c r="D299" s="795" t="s">
        <v>1110</v>
      </c>
      <c r="E299" s="711">
        <v>8100</v>
      </c>
      <c r="F299" s="712">
        <v>169711</v>
      </c>
      <c r="G299" s="737">
        <f>I299/10*6</f>
        <v>90000</v>
      </c>
      <c r="H299" s="737">
        <f>I299/10*4</f>
        <v>60000</v>
      </c>
      <c r="I299" s="737">
        <v>150000</v>
      </c>
    </row>
    <row r="300" spans="1:9" ht="68.25" customHeight="1">
      <c r="A300" s="1020" t="s">
        <v>1509</v>
      </c>
      <c r="B300" s="1021"/>
      <c r="C300" s="1022"/>
      <c r="D300" s="795" t="s">
        <v>1305</v>
      </c>
      <c r="E300" s="711">
        <v>8100</v>
      </c>
      <c r="F300" s="712">
        <v>169711</v>
      </c>
      <c r="G300" s="737">
        <f>I300/10*6</f>
        <v>3000</v>
      </c>
      <c r="H300" s="737">
        <f>I300/10*4</f>
        <v>2000</v>
      </c>
      <c r="I300" s="737">
        <v>5000</v>
      </c>
    </row>
    <row r="301" spans="1:9" ht="68.25" customHeight="1">
      <c r="A301" s="1014" t="s">
        <v>484</v>
      </c>
      <c r="B301" s="1015"/>
      <c r="C301" s="1016"/>
      <c r="D301" s="795" t="s">
        <v>1310</v>
      </c>
      <c r="E301" s="711">
        <v>8100</v>
      </c>
      <c r="F301" s="712">
        <v>169711</v>
      </c>
      <c r="G301" s="737">
        <f>I301/10*6</f>
        <v>114000</v>
      </c>
      <c r="H301" s="737">
        <f>I301/10*4</f>
        <v>76000</v>
      </c>
      <c r="I301" s="737">
        <v>190000</v>
      </c>
    </row>
    <row r="302" spans="1:9" ht="68.25" customHeight="1">
      <c r="A302" s="1014" t="s">
        <v>906</v>
      </c>
      <c r="B302" s="1015"/>
      <c r="C302" s="1016"/>
      <c r="D302" s="795" t="s">
        <v>1309</v>
      </c>
      <c r="E302" s="711">
        <v>8100</v>
      </c>
      <c r="F302" s="712">
        <v>169711</v>
      </c>
      <c r="G302" s="737">
        <f>I302/10*6</f>
        <v>15000</v>
      </c>
      <c r="H302" s="737">
        <f>I302/10*4</f>
        <v>10000</v>
      </c>
      <c r="I302" s="737">
        <v>25000</v>
      </c>
    </row>
    <row r="303" spans="1:9" s="848" customFormat="1" ht="66.75" customHeight="1">
      <c r="A303" s="1011" t="s">
        <v>278</v>
      </c>
      <c r="B303" s="1012"/>
      <c r="C303" s="1013"/>
      <c r="D303" s="708"/>
      <c r="E303" s="709"/>
      <c r="F303" s="710"/>
      <c r="G303" s="545">
        <f>G304</f>
        <v>24000</v>
      </c>
      <c r="H303" s="545">
        <f>H304</f>
        <v>16000</v>
      </c>
      <c r="I303" s="545">
        <f>G303+H303</f>
        <v>40000</v>
      </c>
    </row>
    <row r="304" spans="1:9" ht="66.75" customHeight="1">
      <c r="A304" s="1014" t="s">
        <v>2296</v>
      </c>
      <c r="B304" s="1015"/>
      <c r="C304" s="1016"/>
      <c r="D304" s="788" t="s">
        <v>2297</v>
      </c>
      <c r="E304" s="711">
        <v>8100</v>
      </c>
      <c r="F304" s="794" t="s">
        <v>2445</v>
      </c>
      <c r="G304" s="737">
        <f>I304/10*6</f>
        <v>24000</v>
      </c>
      <c r="H304" s="737">
        <f>I304/10*4</f>
        <v>16000</v>
      </c>
      <c r="I304" s="737">
        <v>40000</v>
      </c>
    </row>
    <row r="305" spans="1:9" ht="42" hidden="1" customHeight="1">
      <c r="A305" s="722"/>
      <c r="B305" s="722"/>
      <c r="C305" s="723" t="s">
        <v>274</v>
      </c>
      <c r="D305" s="723"/>
      <c r="E305" s="723"/>
      <c r="F305" s="723"/>
      <c r="G305" s="685" t="e">
        <f>SUM(G306:G308)</f>
        <v>#REF!</v>
      </c>
      <c r="H305" s="685" t="e">
        <f>SUM(H306:H308)</f>
        <v>#REF!</v>
      </c>
      <c r="I305" s="685" t="e">
        <f>SUM(I306:I308)</f>
        <v>#REF!</v>
      </c>
    </row>
    <row r="306" spans="1:9" ht="50.25" hidden="1" customHeight="1">
      <c r="A306" s="724"/>
      <c r="B306" s="724"/>
      <c r="C306" s="721" t="s">
        <v>842</v>
      </c>
      <c r="D306" s="721"/>
      <c r="E306" s="719">
        <v>112</v>
      </c>
      <c r="F306" s="720" t="s">
        <v>795</v>
      </c>
      <c r="G306" s="684" t="e">
        <f>INT(#REF!*#REF!)</f>
        <v>#REF!</v>
      </c>
      <c r="H306" s="684" t="e">
        <f>INT(#REF!*#REF!)</f>
        <v>#REF!</v>
      </c>
      <c r="I306" s="684" t="e">
        <f>SUM(H306:H306)</f>
        <v>#REF!</v>
      </c>
    </row>
    <row r="307" spans="1:9" ht="57" hidden="1" customHeight="1">
      <c r="A307" s="724"/>
      <c r="B307" s="724"/>
      <c r="C307" s="718" t="s">
        <v>844</v>
      </c>
      <c r="D307" s="718"/>
      <c r="E307" s="719">
        <v>112</v>
      </c>
      <c r="F307" s="720" t="s">
        <v>795</v>
      </c>
      <c r="G307" s="684" t="e">
        <f>INT(#REF!*#REF!)</f>
        <v>#REF!</v>
      </c>
      <c r="H307" s="684" t="e">
        <f>INT(#REF!*#REF!)</f>
        <v>#REF!</v>
      </c>
      <c r="I307" s="684" t="e">
        <f>SUM(H307:H307)</f>
        <v>#REF!</v>
      </c>
    </row>
    <row r="308" spans="1:9" ht="57" hidden="1" customHeight="1">
      <c r="A308" s="724"/>
      <c r="B308" s="724"/>
      <c r="C308" s="718" t="s">
        <v>384</v>
      </c>
      <c r="D308" s="718"/>
      <c r="E308" s="719">
        <v>112</v>
      </c>
      <c r="F308" s="720" t="s">
        <v>795</v>
      </c>
      <c r="G308" s="684" t="e">
        <f>INT(#REF!*#REF!)</f>
        <v>#REF!</v>
      </c>
      <c r="H308" s="684" t="e">
        <f>INT(#REF!*#REF!)</f>
        <v>#REF!</v>
      </c>
      <c r="I308" s="684" t="e">
        <f>SUM(H308:H308)</f>
        <v>#REF!</v>
      </c>
    </row>
    <row r="309" spans="1:9" ht="38.25" customHeight="1">
      <c r="A309" s="686"/>
      <c r="B309" s="686"/>
      <c r="C309" s="687"/>
      <c r="D309" s="687"/>
      <c r="E309" s="687"/>
      <c r="F309" s="687"/>
      <c r="G309" s="686"/>
      <c r="H309" s="686"/>
      <c r="I309" s="686"/>
    </row>
    <row r="310" spans="1:9" ht="60" customHeight="1">
      <c r="A310" s="1017" t="s">
        <v>200</v>
      </c>
      <c r="B310" s="1018"/>
      <c r="C310" s="1018"/>
      <c r="D310" s="1018"/>
      <c r="E310" s="1018"/>
      <c r="F310" s="1018"/>
      <c r="G310" s="688">
        <f>G297+G303</f>
        <v>276000</v>
      </c>
      <c r="H310" s="688">
        <f>H297+H303</f>
        <v>184000</v>
      </c>
      <c r="I310" s="688">
        <f>G310+H310</f>
        <v>460000</v>
      </c>
    </row>
    <row r="311" spans="1:9" ht="49.5" customHeight="1">
      <c r="A311" s="1041" t="s">
        <v>2455</v>
      </c>
      <c r="B311" s="1041"/>
      <c r="C311" s="1042"/>
      <c r="D311" s="1042"/>
      <c r="E311" s="1042"/>
      <c r="F311" s="1042"/>
      <c r="G311" s="1042"/>
      <c r="H311" s="1042"/>
      <c r="I311" s="1042"/>
    </row>
    <row r="312" spans="1:9" ht="60.75" customHeight="1">
      <c r="A312" s="75"/>
      <c r="B312" s="75"/>
      <c r="C312" s="65"/>
      <c r="D312" s="65"/>
      <c r="E312" s="65"/>
      <c r="F312" s="65"/>
      <c r="G312" s="83"/>
      <c r="H312" s="83"/>
      <c r="I312" s="83"/>
    </row>
    <row r="313" spans="1:9" ht="44.25" customHeight="1">
      <c r="A313" s="979" t="s">
        <v>2493</v>
      </c>
      <c r="B313" s="979"/>
      <c r="C313" s="979"/>
      <c r="D313" s="979"/>
      <c r="E313" s="979"/>
      <c r="F313" s="979"/>
      <c r="G313" s="979"/>
      <c r="H313" s="979"/>
      <c r="I313" s="979"/>
    </row>
    <row r="314" spans="1:9" ht="44.25" customHeight="1">
      <c r="A314" s="979" t="s">
        <v>52</v>
      </c>
      <c r="B314" s="979"/>
      <c r="C314" s="979"/>
      <c r="D314" s="979"/>
      <c r="E314" s="979"/>
      <c r="F314" s="979"/>
      <c r="G314" s="979"/>
      <c r="H314" s="979"/>
      <c r="I314" s="979"/>
    </row>
    <row r="315" spans="1:9" ht="44.25" customHeight="1">
      <c r="A315" s="979" t="s">
        <v>50</v>
      </c>
      <c r="B315" s="979"/>
      <c r="C315" s="979"/>
      <c r="D315" s="979"/>
      <c r="E315" s="979"/>
      <c r="F315" s="979"/>
      <c r="G315" s="979"/>
      <c r="H315" s="979"/>
      <c r="I315" s="979"/>
    </row>
    <row r="316" spans="1:9" ht="44.25" customHeight="1">
      <c r="A316" s="979"/>
      <c r="B316" s="979"/>
      <c r="C316" s="979"/>
      <c r="D316" s="979"/>
      <c r="E316" s="979"/>
      <c r="F316" s="979"/>
      <c r="G316" s="979"/>
      <c r="H316" s="979"/>
      <c r="I316" s="979"/>
    </row>
    <row r="317" spans="1:9" ht="44.25" customHeight="1">
      <c r="A317" s="979" t="s">
        <v>1489</v>
      </c>
      <c r="B317" s="979"/>
      <c r="C317" s="979"/>
      <c r="D317" s="979"/>
      <c r="E317" s="979"/>
      <c r="F317" s="979"/>
      <c r="G317" s="979"/>
      <c r="H317" s="979"/>
      <c r="I317" s="979"/>
    </row>
    <row r="318" spans="1:9" s="850" customFormat="1" ht="33">
      <c r="A318" s="65"/>
      <c r="B318" s="65"/>
      <c r="C318" s="65"/>
      <c r="D318" s="65"/>
      <c r="E318" s="65"/>
      <c r="F318" s="65"/>
      <c r="G318" s="68"/>
      <c r="H318" s="68"/>
      <c r="I318" s="68"/>
    </row>
    <row r="319" spans="1:9" ht="20.100000000000001" customHeight="1">
      <c r="A319" s="65"/>
      <c r="B319" s="65"/>
      <c r="C319" s="65"/>
      <c r="D319" s="65"/>
      <c r="E319" s="65"/>
      <c r="F319" s="65"/>
      <c r="G319" s="68"/>
      <c r="H319" s="68"/>
      <c r="I319" s="68"/>
    </row>
    <row r="320" spans="1:9" ht="20.100000000000001" customHeight="1">
      <c r="A320" s="979"/>
      <c r="B320" s="979"/>
      <c r="C320" s="979"/>
      <c r="D320" s="979"/>
      <c r="E320" s="979"/>
      <c r="F320" s="979"/>
      <c r="G320" s="979"/>
      <c r="H320" s="979"/>
      <c r="I320" s="979"/>
    </row>
    <row r="321" spans="1:9" ht="45.75" customHeight="1">
      <c r="A321" s="1029" t="s">
        <v>1368</v>
      </c>
      <c r="B321" s="1029"/>
      <c r="C321" s="1030"/>
      <c r="D321" s="1030"/>
      <c r="E321" s="1030"/>
      <c r="F321" s="1030"/>
      <c r="G321" s="1030"/>
      <c r="H321" s="1030"/>
      <c r="I321" s="1030"/>
    </row>
    <row r="322" spans="1:9" s="848" customFormat="1" ht="68.25" customHeight="1">
      <c r="A322" s="1031" t="s">
        <v>37</v>
      </c>
      <c r="B322" s="1032"/>
      <c r="C322" s="1033"/>
      <c r="D322" s="1037" t="s">
        <v>14</v>
      </c>
      <c r="E322" s="1037" t="s">
        <v>1515</v>
      </c>
      <c r="F322" s="1037" t="s">
        <v>16</v>
      </c>
      <c r="G322" s="1039" t="s">
        <v>1490</v>
      </c>
      <c r="H322" s="1039" t="s">
        <v>2454</v>
      </c>
      <c r="I322" s="1037" t="s">
        <v>200</v>
      </c>
    </row>
    <row r="323" spans="1:9" s="848" customFormat="1" ht="75.75" customHeight="1">
      <c r="A323" s="1034"/>
      <c r="B323" s="1035"/>
      <c r="C323" s="1036"/>
      <c r="D323" s="1038"/>
      <c r="E323" s="1038"/>
      <c r="F323" s="1038"/>
      <c r="G323" s="1039"/>
      <c r="H323" s="1039"/>
      <c r="I323" s="1038"/>
    </row>
    <row r="324" spans="1:9" s="848" customFormat="1" ht="66.75" customHeight="1">
      <c r="A324" s="1011" t="s">
        <v>273</v>
      </c>
      <c r="B324" s="1012"/>
      <c r="C324" s="1013"/>
      <c r="D324" s="708"/>
      <c r="E324" s="709"/>
      <c r="F324" s="710"/>
      <c r="G324" s="545">
        <f>SUM(G325:G330)</f>
        <v>237000</v>
      </c>
      <c r="H324" s="545">
        <f>SUM(H325:H330)</f>
        <v>158000</v>
      </c>
      <c r="I324" s="545">
        <f>G324+H324</f>
        <v>395000</v>
      </c>
    </row>
    <row r="325" spans="1:9" ht="66.75" customHeight="1">
      <c r="A325" s="1014" t="s">
        <v>2279</v>
      </c>
      <c r="B325" s="1015"/>
      <c r="C325" s="1016"/>
      <c r="D325" s="788" t="s">
        <v>2298</v>
      </c>
      <c r="E325" s="711">
        <v>8100</v>
      </c>
      <c r="F325" s="712">
        <v>169711</v>
      </c>
      <c r="G325" s="737">
        <f t="shared" ref="G325:G330" si="5">I325/10*6</f>
        <v>111000</v>
      </c>
      <c r="H325" s="737">
        <f t="shared" ref="H325:H330" si="6">I325/10*4</f>
        <v>74000</v>
      </c>
      <c r="I325" s="737">
        <v>185000</v>
      </c>
    </row>
    <row r="326" spans="1:9" ht="68.25" customHeight="1">
      <c r="A326" s="1020" t="s">
        <v>949</v>
      </c>
      <c r="B326" s="1021"/>
      <c r="C326" s="1022"/>
      <c r="D326" s="788" t="s">
        <v>2299</v>
      </c>
      <c r="E326" s="784">
        <v>8100</v>
      </c>
      <c r="F326" s="712">
        <v>169711</v>
      </c>
      <c r="G326" s="737">
        <f t="shared" si="5"/>
        <v>18000</v>
      </c>
      <c r="H326" s="737">
        <f t="shared" si="6"/>
        <v>12000</v>
      </c>
      <c r="I326" s="737">
        <v>30000</v>
      </c>
    </row>
    <row r="327" spans="1:9" ht="68.25" customHeight="1">
      <c r="A327" s="1020" t="s">
        <v>2277</v>
      </c>
      <c r="B327" s="1021"/>
      <c r="C327" s="1022"/>
      <c r="D327" s="1044" t="s">
        <v>2300</v>
      </c>
      <c r="E327" s="1047">
        <v>8100</v>
      </c>
      <c r="F327" s="1050">
        <v>169711</v>
      </c>
      <c r="G327" s="737">
        <f t="shared" si="5"/>
        <v>66000</v>
      </c>
      <c r="H327" s="737">
        <f t="shared" si="6"/>
        <v>44000</v>
      </c>
      <c r="I327" s="737">
        <v>110000</v>
      </c>
    </row>
    <row r="328" spans="1:9" ht="68.25" customHeight="1">
      <c r="A328" s="1020" t="s">
        <v>2281</v>
      </c>
      <c r="B328" s="1021"/>
      <c r="C328" s="1022"/>
      <c r="D328" s="1045"/>
      <c r="E328" s="1048"/>
      <c r="F328" s="1051"/>
      <c r="G328" s="737">
        <f t="shared" si="5"/>
        <v>24000</v>
      </c>
      <c r="H328" s="737">
        <f t="shared" si="6"/>
        <v>16000</v>
      </c>
      <c r="I328" s="737">
        <v>40000</v>
      </c>
    </row>
    <row r="329" spans="1:9" ht="68.25" customHeight="1">
      <c r="A329" s="1020" t="s">
        <v>2280</v>
      </c>
      <c r="B329" s="1021"/>
      <c r="C329" s="1022"/>
      <c r="D329" s="1045"/>
      <c r="E329" s="1048"/>
      <c r="F329" s="1051"/>
      <c r="G329" s="737">
        <f t="shared" si="5"/>
        <v>9000</v>
      </c>
      <c r="H329" s="737">
        <f t="shared" si="6"/>
        <v>6000</v>
      </c>
      <c r="I329" s="737">
        <v>15000</v>
      </c>
    </row>
    <row r="330" spans="1:9" ht="68.25" customHeight="1">
      <c r="A330" s="1020" t="s">
        <v>2282</v>
      </c>
      <c r="B330" s="1021"/>
      <c r="C330" s="1022"/>
      <c r="D330" s="1046"/>
      <c r="E330" s="1049"/>
      <c r="F330" s="1052"/>
      <c r="G330" s="737">
        <f t="shared" si="5"/>
        <v>9000</v>
      </c>
      <c r="H330" s="737">
        <f t="shared" si="6"/>
        <v>6000</v>
      </c>
      <c r="I330" s="737">
        <v>15000</v>
      </c>
    </row>
    <row r="331" spans="1:9" s="848" customFormat="1" ht="66.75" customHeight="1">
      <c r="A331" s="1011" t="s">
        <v>2278</v>
      </c>
      <c r="B331" s="1012"/>
      <c r="C331" s="1013"/>
      <c r="D331" s="708"/>
      <c r="E331" s="709"/>
      <c r="F331" s="710"/>
      <c r="G331" s="545">
        <f>SUM(G332:G332)</f>
        <v>34455.600000000006</v>
      </c>
      <c r="H331" s="545">
        <f>SUM(H332:H332)</f>
        <v>22970.400000000001</v>
      </c>
      <c r="I331" s="545">
        <f>G331+H331</f>
        <v>57426.000000000007</v>
      </c>
    </row>
    <row r="332" spans="1:9" ht="66.75" customHeight="1">
      <c r="A332" s="1014" t="s">
        <v>948</v>
      </c>
      <c r="B332" s="1015"/>
      <c r="C332" s="1016"/>
      <c r="D332" s="791" t="s">
        <v>2376</v>
      </c>
      <c r="E332" s="784">
        <v>8100</v>
      </c>
      <c r="F332" s="712">
        <v>169711</v>
      </c>
      <c r="G332" s="737">
        <f>I332/10*6</f>
        <v>34455.600000000006</v>
      </c>
      <c r="H332" s="737">
        <f>I332/10*4</f>
        <v>22970.400000000001</v>
      </c>
      <c r="I332" s="737">
        <v>57426</v>
      </c>
    </row>
    <row r="333" spans="1:9" s="848" customFormat="1" ht="66.75" customHeight="1">
      <c r="A333" s="1011" t="s">
        <v>278</v>
      </c>
      <c r="B333" s="1012"/>
      <c r="C333" s="1013"/>
      <c r="D333" s="708"/>
      <c r="E333" s="709"/>
      <c r="F333" s="710"/>
      <c r="G333" s="545">
        <f>SUM(G334:G340)</f>
        <v>358627.6</v>
      </c>
      <c r="H333" s="545">
        <f>SUM(H334:H340)</f>
        <v>234283.4</v>
      </c>
      <c r="I333" s="545">
        <f>G333+H333</f>
        <v>592911</v>
      </c>
    </row>
    <row r="334" spans="1:9" ht="66.75" customHeight="1">
      <c r="A334" s="1014" t="s">
        <v>2283</v>
      </c>
      <c r="B334" s="1015"/>
      <c r="C334" s="1016"/>
      <c r="D334" s="788" t="s">
        <v>2302</v>
      </c>
      <c r="E334" s="711">
        <v>8100</v>
      </c>
      <c r="F334" s="794" t="s">
        <v>2445</v>
      </c>
      <c r="G334" s="737">
        <f>I334/10*6</f>
        <v>60000</v>
      </c>
      <c r="H334" s="737">
        <f>I334/10*4</f>
        <v>40000</v>
      </c>
      <c r="I334" s="737">
        <v>100000</v>
      </c>
    </row>
    <row r="335" spans="1:9" ht="66.75" customHeight="1">
      <c r="A335" s="1014" t="s">
        <v>2284</v>
      </c>
      <c r="B335" s="1015"/>
      <c r="C335" s="1016"/>
      <c r="D335" s="788" t="s">
        <v>2303</v>
      </c>
      <c r="E335" s="784">
        <v>8100</v>
      </c>
      <c r="F335" s="794" t="s">
        <v>2445</v>
      </c>
      <c r="G335" s="737">
        <f>I335/10*6</f>
        <v>36000</v>
      </c>
      <c r="H335" s="737">
        <f>I335/10*4</f>
        <v>24000</v>
      </c>
      <c r="I335" s="737">
        <v>60000</v>
      </c>
    </row>
    <row r="336" spans="1:9" ht="66.75" customHeight="1">
      <c r="A336" s="1014" t="s">
        <v>2285</v>
      </c>
      <c r="B336" s="1015"/>
      <c r="C336" s="1016"/>
      <c r="D336" s="788" t="s">
        <v>2304</v>
      </c>
      <c r="E336" s="784">
        <v>8100</v>
      </c>
      <c r="F336" s="794" t="s">
        <v>2445</v>
      </c>
      <c r="G336" s="737">
        <f>(I336/10*6)-12085</f>
        <v>165218.59999999998</v>
      </c>
      <c r="H336" s="737">
        <f>(I336/10*4)+12081</f>
        <v>130283.4</v>
      </c>
      <c r="I336" s="737">
        <f>350000-54494</f>
        <v>295506</v>
      </c>
    </row>
    <row r="337" spans="1:9" ht="66.75" customHeight="1">
      <c r="A337" s="1014" t="s">
        <v>2286</v>
      </c>
      <c r="B337" s="1015"/>
      <c r="C337" s="1016"/>
      <c r="D337" s="788" t="s">
        <v>2305</v>
      </c>
      <c r="E337" s="784">
        <v>8100</v>
      </c>
      <c r="F337" s="794" t="s">
        <v>2445</v>
      </c>
      <c r="G337" s="737">
        <f>I337/10*6</f>
        <v>30000</v>
      </c>
      <c r="H337" s="737">
        <f>I337/10*4</f>
        <v>20000</v>
      </c>
      <c r="I337" s="737">
        <v>50000</v>
      </c>
    </row>
    <row r="338" spans="1:9" ht="66.75" customHeight="1">
      <c r="A338" s="1014" t="s">
        <v>2287</v>
      </c>
      <c r="B338" s="1015"/>
      <c r="C338" s="1016"/>
      <c r="D338" s="788" t="s">
        <v>2306</v>
      </c>
      <c r="E338" s="711">
        <v>8100</v>
      </c>
      <c r="F338" s="794" t="s">
        <v>2445</v>
      </c>
      <c r="G338" s="737">
        <f>I338/10*6</f>
        <v>30000</v>
      </c>
      <c r="H338" s="737">
        <f>I338/10*4</f>
        <v>20000</v>
      </c>
      <c r="I338" s="737">
        <v>50000</v>
      </c>
    </row>
    <row r="339" spans="1:9" ht="21.75" customHeight="1">
      <c r="A339" s="806"/>
      <c r="B339" s="807"/>
      <c r="C339" s="808"/>
      <c r="D339" s="801"/>
      <c r="E339" s="805"/>
      <c r="F339" s="804"/>
      <c r="G339" s="737"/>
      <c r="H339" s="737"/>
      <c r="I339" s="737"/>
    </row>
    <row r="340" spans="1:9" ht="66.75" customHeight="1">
      <c r="A340" s="1004" t="s">
        <v>2488</v>
      </c>
      <c r="B340" s="1005"/>
      <c r="C340" s="1006"/>
      <c r="D340" s="810"/>
      <c r="E340" s="811"/>
      <c r="F340" s="812"/>
      <c r="G340" s="813">
        <v>37409</v>
      </c>
      <c r="H340" s="813"/>
      <c r="I340" s="813">
        <f>G340+H340</f>
        <v>37409</v>
      </c>
    </row>
    <row r="341" spans="1:9" s="848" customFormat="1" ht="66.75" customHeight="1">
      <c r="A341" s="1011" t="s">
        <v>312</v>
      </c>
      <c r="B341" s="1012"/>
      <c r="C341" s="1013"/>
      <c r="D341" s="708"/>
      <c r="E341" s="709"/>
      <c r="F341" s="710"/>
      <c r="G341" s="545">
        <f>SUM(G342:G342)</f>
        <v>90000</v>
      </c>
      <c r="H341" s="545">
        <f>SUM(H342:H342)</f>
        <v>60000</v>
      </c>
      <c r="I341" s="545">
        <f>G341+H341</f>
        <v>150000</v>
      </c>
    </row>
    <row r="342" spans="1:9" ht="66.75" customHeight="1">
      <c r="A342" s="1014" t="s">
        <v>2288</v>
      </c>
      <c r="B342" s="1015"/>
      <c r="C342" s="1016"/>
      <c r="D342" s="788" t="s">
        <v>2307</v>
      </c>
      <c r="E342" s="784">
        <v>8100</v>
      </c>
      <c r="F342" s="712">
        <v>169711</v>
      </c>
      <c r="G342" s="737">
        <f>I342/10*6</f>
        <v>90000</v>
      </c>
      <c r="H342" s="737">
        <f>I342/10*4</f>
        <v>60000</v>
      </c>
      <c r="I342" s="737">
        <v>150000</v>
      </c>
    </row>
    <row r="343" spans="1:9" ht="38.25" customHeight="1">
      <c r="A343" s="686"/>
      <c r="B343" s="686"/>
      <c r="C343" s="687"/>
      <c r="D343" s="687"/>
      <c r="E343" s="687"/>
      <c r="F343" s="687"/>
      <c r="G343" s="686"/>
      <c r="H343" s="686"/>
      <c r="I343" s="686"/>
    </row>
    <row r="344" spans="1:9" ht="60" customHeight="1">
      <c r="A344" s="1017" t="s">
        <v>200</v>
      </c>
      <c r="B344" s="1018"/>
      <c r="C344" s="1018"/>
      <c r="D344" s="1018"/>
      <c r="E344" s="1018"/>
      <c r="F344" s="1019"/>
      <c r="G344" s="688">
        <f>G324+G333+G331+G341</f>
        <v>720083.2</v>
      </c>
      <c r="H344" s="688">
        <f>H324+H333+H331+H341</f>
        <v>475253.80000000005</v>
      </c>
      <c r="I344" s="688">
        <f>G344+H344</f>
        <v>1195337</v>
      </c>
    </row>
    <row r="345" spans="1:9" s="850" customFormat="1" ht="45.75" customHeight="1">
      <c r="A345" s="1041" t="s">
        <v>2455</v>
      </c>
      <c r="B345" s="1041"/>
      <c r="C345" s="1042"/>
      <c r="D345" s="1042"/>
      <c r="E345" s="1042"/>
      <c r="F345" s="1042"/>
      <c r="G345" s="1042"/>
      <c r="H345" s="1042"/>
      <c r="I345" s="1042"/>
    </row>
    <row r="346" spans="1:9" ht="42" customHeight="1">
      <c r="A346" s="1041" t="s">
        <v>2456</v>
      </c>
      <c r="B346" s="1041"/>
      <c r="C346" s="1042"/>
      <c r="D346" s="1042"/>
      <c r="E346" s="1042"/>
      <c r="F346" s="1042"/>
      <c r="G346" s="1042"/>
      <c r="H346" s="1042"/>
      <c r="I346" s="1042"/>
    </row>
    <row r="347" spans="1:9" ht="19.5" customHeight="1">
      <c r="A347" s="65"/>
      <c r="B347" s="65"/>
      <c r="C347" s="65"/>
      <c r="D347" s="65"/>
      <c r="E347" s="65"/>
      <c r="F347" s="65"/>
      <c r="G347" s="68"/>
      <c r="H347" s="68"/>
      <c r="I347" s="68"/>
    </row>
    <row r="348" spans="1:9" ht="44.25" customHeight="1">
      <c r="A348" s="979" t="s">
        <v>2493</v>
      </c>
      <c r="B348" s="979"/>
      <c r="C348" s="979"/>
      <c r="D348" s="979"/>
      <c r="E348" s="979"/>
      <c r="F348" s="979"/>
      <c r="G348" s="979"/>
      <c r="H348" s="979"/>
      <c r="I348" s="979"/>
    </row>
    <row r="349" spans="1:9" ht="44.25" customHeight="1">
      <c r="A349" s="979" t="s">
        <v>52</v>
      </c>
      <c r="B349" s="979"/>
      <c r="C349" s="979"/>
      <c r="D349" s="979"/>
      <c r="E349" s="979"/>
      <c r="F349" s="979"/>
      <c r="G349" s="979"/>
      <c r="H349" s="979"/>
      <c r="I349" s="979"/>
    </row>
    <row r="350" spans="1:9" ht="44.25" customHeight="1">
      <c r="A350" s="979" t="s">
        <v>50</v>
      </c>
      <c r="B350" s="979"/>
      <c r="C350" s="979"/>
      <c r="D350" s="979"/>
      <c r="E350" s="979"/>
      <c r="F350" s="979"/>
      <c r="G350" s="979"/>
      <c r="H350" s="979"/>
      <c r="I350" s="979"/>
    </row>
    <row r="351" spans="1:9" ht="44.25" customHeight="1">
      <c r="A351" s="979"/>
      <c r="B351" s="979"/>
      <c r="C351" s="979"/>
      <c r="D351" s="979"/>
      <c r="E351" s="979"/>
      <c r="F351" s="979"/>
      <c r="G351" s="979"/>
      <c r="H351" s="979"/>
      <c r="I351" s="979"/>
    </row>
    <row r="352" spans="1:9" ht="44.25" customHeight="1">
      <c r="A352" s="979" t="s">
        <v>1489</v>
      </c>
      <c r="B352" s="979"/>
      <c r="C352" s="979"/>
      <c r="D352" s="979"/>
      <c r="E352" s="979"/>
      <c r="F352" s="979"/>
      <c r="G352" s="979"/>
      <c r="H352" s="979"/>
      <c r="I352" s="979"/>
    </row>
    <row r="353" spans="1:9" ht="44.25" customHeight="1">
      <c r="A353" s="824"/>
      <c r="B353" s="824"/>
      <c r="C353" s="824"/>
      <c r="D353" s="824"/>
      <c r="E353" s="824"/>
      <c r="F353" s="824"/>
      <c r="G353" s="824"/>
      <c r="H353" s="824"/>
      <c r="I353" s="824"/>
    </row>
    <row r="354" spans="1:9" ht="44.25" customHeight="1">
      <c r="A354" s="824"/>
      <c r="B354" s="824"/>
      <c r="C354" s="824"/>
      <c r="D354" s="824"/>
      <c r="E354" s="824"/>
      <c r="F354" s="824"/>
      <c r="G354" s="824"/>
      <c r="H354" s="824"/>
      <c r="I354" s="824"/>
    </row>
    <row r="355" spans="1:9" ht="20.100000000000001" customHeight="1">
      <c r="A355" s="979"/>
      <c r="B355" s="979"/>
      <c r="C355" s="979"/>
      <c r="D355" s="979"/>
      <c r="E355" s="979"/>
      <c r="F355" s="979"/>
      <c r="G355" s="979"/>
      <c r="H355" s="979"/>
      <c r="I355" s="979"/>
    </row>
    <row r="356" spans="1:9" ht="44.25" customHeight="1">
      <c r="A356" s="1029" t="s">
        <v>1369</v>
      </c>
      <c r="B356" s="1029"/>
      <c r="C356" s="1030"/>
      <c r="D356" s="1030"/>
      <c r="E356" s="1030"/>
      <c r="F356" s="1030"/>
      <c r="G356" s="1030"/>
      <c r="H356" s="1030"/>
      <c r="I356" s="1030"/>
    </row>
    <row r="357" spans="1:9" s="848" customFormat="1" ht="68.25" customHeight="1">
      <c r="A357" s="1031" t="s">
        <v>37</v>
      </c>
      <c r="B357" s="1032"/>
      <c r="C357" s="1033"/>
      <c r="D357" s="1037" t="s">
        <v>14</v>
      </c>
      <c r="E357" s="1037" t="s">
        <v>1515</v>
      </c>
      <c r="F357" s="1037" t="s">
        <v>16</v>
      </c>
      <c r="G357" s="1039" t="s">
        <v>1490</v>
      </c>
      <c r="H357" s="1039" t="s">
        <v>2454</v>
      </c>
      <c r="I357" s="1037" t="s">
        <v>200</v>
      </c>
    </row>
    <row r="358" spans="1:9" s="848" customFormat="1" ht="75.75" customHeight="1">
      <c r="A358" s="1034"/>
      <c r="B358" s="1035"/>
      <c r="C358" s="1036"/>
      <c r="D358" s="1038"/>
      <c r="E358" s="1038"/>
      <c r="F358" s="1038"/>
      <c r="G358" s="1039"/>
      <c r="H358" s="1039"/>
      <c r="I358" s="1038"/>
    </row>
    <row r="359" spans="1:9" s="848" customFormat="1" ht="66.75" customHeight="1">
      <c r="A359" s="1011" t="s">
        <v>273</v>
      </c>
      <c r="B359" s="1012"/>
      <c r="C359" s="1013"/>
      <c r="D359" s="708"/>
      <c r="E359" s="709"/>
      <c r="F359" s="710"/>
      <c r="G359" s="545">
        <f>SUM(G360:G360)</f>
        <v>143089.79999999999</v>
      </c>
      <c r="H359" s="545">
        <f>SUM(H360:H360)</f>
        <v>95393.2</v>
      </c>
      <c r="I359" s="545">
        <f>G359+H359</f>
        <v>238483</v>
      </c>
    </row>
    <row r="360" spans="1:9" ht="66.75" customHeight="1">
      <c r="A360" s="1014" t="s">
        <v>2308</v>
      </c>
      <c r="B360" s="1015"/>
      <c r="C360" s="1016"/>
      <c r="D360" s="788" t="s">
        <v>2310</v>
      </c>
      <c r="E360" s="787">
        <v>8100</v>
      </c>
      <c r="F360" s="712">
        <v>169711</v>
      </c>
      <c r="G360" s="737">
        <f>I360/10*6</f>
        <v>143089.79999999999</v>
      </c>
      <c r="H360" s="737">
        <f>I360/10*4</f>
        <v>95393.2</v>
      </c>
      <c r="I360" s="737">
        <v>238483</v>
      </c>
    </row>
    <row r="361" spans="1:9" s="848" customFormat="1" ht="66.75" customHeight="1">
      <c r="A361" s="1011" t="s">
        <v>292</v>
      </c>
      <c r="B361" s="1012"/>
      <c r="C361" s="1013"/>
      <c r="D361" s="708"/>
      <c r="E361" s="709"/>
      <c r="F361" s="710"/>
      <c r="G361" s="545">
        <f>SUM(G362:G371)</f>
        <v>1365799.2</v>
      </c>
      <c r="H361" s="545">
        <f>SUM(H362:H371)</f>
        <v>910532.8</v>
      </c>
      <c r="I361" s="545">
        <f>G361+H361</f>
        <v>2276332</v>
      </c>
    </row>
    <row r="362" spans="1:9" ht="66.75" customHeight="1">
      <c r="A362" s="1014" t="s">
        <v>2312</v>
      </c>
      <c r="B362" s="1015"/>
      <c r="C362" s="1016"/>
      <c r="D362" s="795" t="s">
        <v>1132</v>
      </c>
      <c r="E362" s="711">
        <v>8100</v>
      </c>
      <c r="F362" s="712">
        <v>169711</v>
      </c>
      <c r="G362" s="737">
        <f t="shared" ref="G362:G371" si="7">I362/10*6</f>
        <v>21600</v>
      </c>
      <c r="H362" s="737">
        <f t="shared" ref="H362:H371" si="8">I362/10*4</f>
        <v>14400</v>
      </c>
      <c r="I362" s="737">
        <v>36000</v>
      </c>
    </row>
    <row r="363" spans="1:9" ht="68.25" customHeight="1">
      <c r="A363" s="1014" t="s">
        <v>2313</v>
      </c>
      <c r="B363" s="1015"/>
      <c r="C363" s="1016"/>
      <c r="D363" s="795" t="s">
        <v>985</v>
      </c>
      <c r="E363" s="711">
        <v>8100</v>
      </c>
      <c r="F363" s="712">
        <v>169711</v>
      </c>
      <c r="G363" s="737">
        <f t="shared" si="7"/>
        <v>51249.600000000006</v>
      </c>
      <c r="H363" s="737">
        <f t="shared" si="8"/>
        <v>34166.400000000001</v>
      </c>
      <c r="I363" s="737">
        <v>85416</v>
      </c>
    </row>
    <row r="364" spans="1:9" ht="66.75" customHeight="1">
      <c r="A364" s="1014" t="s">
        <v>228</v>
      </c>
      <c r="B364" s="1015"/>
      <c r="C364" s="1016"/>
      <c r="D364" s="795" t="s">
        <v>1133</v>
      </c>
      <c r="E364" s="711">
        <v>8100</v>
      </c>
      <c r="F364" s="712">
        <v>169711</v>
      </c>
      <c r="G364" s="737">
        <f t="shared" si="7"/>
        <v>54000</v>
      </c>
      <c r="H364" s="737">
        <f t="shared" si="8"/>
        <v>36000</v>
      </c>
      <c r="I364" s="737">
        <v>90000</v>
      </c>
    </row>
    <row r="365" spans="1:9" ht="68.25" customHeight="1">
      <c r="A365" s="1014" t="s">
        <v>239</v>
      </c>
      <c r="B365" s="1015"/>
      <c r="C365" s="1016"/>
      <c r="D365" s="795" t="s">
        <v>1135</v>
      </c>
      <c r="E365" s="711">
        <v>8100</v>
      </c>
      <c r="F365" s="712">
        <v>169711</v>
      </c>
      <c r="G365" s="737">
        <f t="shared" si="7"/>
        <v>32400</v>
      </c>
      <c r="H365" s="737">
        <f t="shared" si="8"/>
        <v>21600</v>
      </c>
      <c r="I365" s="737">
        <v>54000</v>
      </c>
    </row>
    <row r="366" spans="1:9" ht="66.75" customHeight="1">
      <c r="A366" s="1014" t="s">
        <v>449</v>
      </c>
      <c r="B366" s="1015"/>
      <c r="C366" s="1016"/>
      <c r="D366" s="795" t="s">
        <v>987</v>
      </c>
      <c r="E366" s="711">
        <v>8100</v>
      </c>
      <c r="F366" s="712">
        <v>169711</v>
      </c>
      <c r="G366" s="737">
        <f t="shared" si="7"/>
        <v>288549.59999999998</v>
      </c>
      <c r="H366" s="737">
        <f t="shared" si="8"/>
        <v>192366.4</v>
      </c>
      <c r="I366" s="737">
        <v>480916</v>
      </c>
    </row>
    <row r="367" spans="1:9" ht="68.25" customHeight="1">
      <c r="A367" s="1014" t="s">
        <v>2314</v>
      </c>
      <c r="B367" s="1015"/>
      <c r="C367" s="1016"/>
      <c r="D367" s="788" t="s">
        <v>2320</v>
      </c>
      <c r="E367" s="711">
        <v>8100</v>
      </c>
      <c r="F367" s="712">
        <v>169711</v>
      </c>
      <c r="G367" s="737">
        <f t="shared" si="7"/>
        <v>738000</v>
      </c>
      <c r="H367" s="737">
        <f t="shared" si="8"/>
        <v>492000</v>
      </c>
      <c r="I367" s="737">
        <v>1230000</v>
      </c>
    </row>
    <row r="368" spans="1:9" ht="68.25" customHeight="1">
      <c r="A368" s="1014" t="s">
        <v>2315</v>
      </c>
      <c r="B368" s="1015"/>
      <c r="C368" s="1016"/>
      <c r="D368" s="788" t="s">
        <v>2321</v>
      </c>
      <c r="E368" s="711">
        <v>8100</v>
      </c>
      <c r="F368" s="712">
        <v>169711</v>
      </c>
      <c r="G368" s="737">
        <f t="shared" si="7"/>
        <v>54000</v>
      </c>
      <c r="H368" s="737">
        <f t="shared" si="8"/>
        <v>36000</v>
      </c>
      <c r="I368" s="737">
        <v>90000</v>
      </c>
    </row>
    <row r="369" spans="1:9" ht="66.75" customHeight="1">
      <c r="A369" s="1014" t="s">
        <v>2316</v>
      </c>
      <c r="B369" s="1015"/>
      <c r="C369" s="1016"/>
      <c r="D369" s="788" t="s">
        <v>2322</v>
      </c>
      <c r="E369" s="711">
        <v>8100</v>
      </c>
      <c r="F369" s="712">
        <v>169711</v>
      </c>
      <c r="G369" s="737">
        <f t="shared" si="7"/>
        <v>36000</v>
      </c>
      <c r="H369" s="737">
        <f t="shared" si="8"/>
        <v>24000</v>
      </c>
      <c r="I369" s="737">
        <v>60000</v>
      </c>
    </row>
    <row r="370" spans="1:9" ht="68.25" customHeight="1">
      <c r="A370" s="1014" t="s">
        <v>2317</v>
      </c>
      <c r="B370" s="1015"/>
      <c r="C370" s="1016"/>
      <c r="D370" s="788" t="s">
        <v>2323</v>
      </c>
      <c r="E370" s="711">
        <v>8100</v>
      </c>
      <c r="F370" s="712">
        <v>169711</v>
      </c>
      <c r="G370" s="737">
        <f t="shared" si="7"/>
        <v>9000</v>
      </c>
      <c r="H370" s="737">
        <f t="shared" si="8"/>
        <v>6000</v>
      </c>
      <c r="I370" s="737">
        <v>15000</v>
      </c>
    </row>
    <row r="371" spans="1:9" ht="68.25" customHeight="1">
      <c r="A371" s="1014" t="s">
        <v>2318</v>
      </c>
      <c r="B371" s="1015"/>
      <c r="C371" s="1016"/>
      <c r="D371" s="788" t="s">
        <v>2324</v>
      </c>
      <c r="E371" s="711">
        <v>8100</v>
      </c>
      <c r="F371" s="712">
        <v>169711</v>
      </c>
      <c r="G371" s="737">
        <f t="shared" si="7"/>
        <v>81000</v>
      </c>
      <c r="H371" s="737">
        <f t="shared" si="8"/>
        <v>54000</v>
      </c>
      <c r="I371" s="737">
        <v>135000</v>
      </c>
    </row>
    <row r="372" spans="1:9" s="848" customFormat="1" ht="66.75" customHeight="1">
      <c r="A372" s="1011" t="s">
        <v>2278</v>
      </c>
      <c r="B372" s="1012"/>
      <c r="C372" s="1013"/>
      <c r="D372" s="708"/>
      <c r="E372" s="709"/>
      <c r="F372" s="710"/>
      <c r="G372" s="545">
        <f>SUM(G373:G373)</f>
        <v>1200000</v>
      </c>
      <c r="H372" s="545">
        <f>SUM(H373:H373)</f>
        <v>800000</v>
      </c>
      <c r="I372" s="545">
        <f>G372+H372</f>
        <v>2000000</v>
      </c>
    </row>
    <row r="373" spans="1:9" ht="66.75" customHeight="1">
      <c r="A373" s="1014" t="s">
        <v>897</v>
      </c>
      <c r="B373" s="1015"/>
      <c r="C373" s="1016"/>
      <c r="D373" s="791" t="s">
        <v>2381</v>
      </c>
      <c r="E373" s="787">
        <v>8100</v>
      </c>
      <c r="F373" s="712">
        <v>169711</v>
      </c>
      <c r="G373" s="737">
        <f>I373/10*6</f>
        <v>1200000</v>
      </c>
      <c r="H373" s="737">
        <f>I373/10*4</f>
        <v>800000</v>
      </c>
      <c r="I373" s="737">
        <v>2000000</v>
      </c>
    </row>
    <row r="374" spans="1:9" s="848" customFormat="1" ht="66.75" customHeight="1">
      <c r="A374" s="1011" t="s">
        <v>278</v>
      </c>
      <c r="B374" s="1012"/>
      <c r="C374" s="1013"/>
      <c r="D374" s="708"/>
      <c r="E374" s="709"/>
      <c r="F374" s="710"/>
      <c r="G374" s="545">
        <f>SUM(G375:G375)</f>
        <v>48000</v>
      </c>
      <c r="H374" s="545">
        <f>SUM(H375:H375)</f>
        <v>32000</v>
      </c>
      <c r="I374" s="545">
        <f>G374+H374</f>
        <v>80000</v>
      </c>
    </row>
    <row r="375" spans="1:9" ht="66.75" customHeight="1">
      <c r="A375" s="1014" t="s">
        <v>1341</v>
      </c>
      <c r="B375" s="1015"/>
      <c r="C375" s="1016"/>
      <c r="D375" s="788" t="s">
        <v>2309</v>
      </c>
      <c r="E375" s="711">
        <v>8100</v>
      </c>
      <c r="F375" s="794" t="s">
        <v>2445</v>
      </c>
      <c r="G375" s="737">
        <f>I375/10*6</f>
        <v>48000</v>
      </c>
      <c r="H375" s="737">
        <f>I375/10*4</f>
        <v>32000</v>
      </c>
      <c r="I375" s="737">
        <v>80000</v>
      </c>
    </row>
    <row r="376" spans="1:9" ht="42" hidden="1" customHeight="1">
      <c r="A376" s="722"/>
      <c r="B376" s="722"/>
      <c r="C376" s="723" t="s">
        <v>274</v>
      </c>
      <c r="D376" s="723"/>
      <c r="E376" s="723"/>
      <c r="F376" s="723"/>
      <c r="G376" s="685" t="e">
        <f>SUM(G377:G379)</f>
        <v>#REF!</v>
      </c>
      <c r="H376" s="685" t="e">
        <f>SUM(H377:H379)</f>
        <v>#REF!</v>
      </c>
      <c r="I376" s="685" t="e">
        <f>SUM(I377:I379)</f>
        <v>#REF!</v>
      </c>
    </row>
    <row r="377" spans="1:9" ht="50.25" hidden="1" customHeight="1">
      <c r="A377" s="724"/>
      <c r="B377" s="724"/>
      <c r="C377" s="721" t="s">
        <v>842</v>
      </c>
      <c r="D377" s="721"/>
      <c r="E377" s="719">
        <v>112</v>
      </c>
      <c r="F377" s="720" t="s">
        <v>795</v>
      </c>
      <c r="G377" s="684" t="e">
        <f>INT(#REF!*#REF!)</f>
        <v>#REF!</v>
      </c>
      <c r="H377" s="684" t="e">
        <f>INT(#REF!*#REF!)</f>
        <v>#REF!</v>
      </c>
      <c r="I377" s="684" t="e">
        <f>SUM(H377:H377)</f>
        <v>#REF!</v>
      </c>
    </row>
    <row r="378" spans="1:9" ht="57" hidden="1" customHeight="1">
      <c r="A378" s="724"/>
      <c r="B378" s="724"/>
      <c r="C378" s="718" t="s">
        <v>844</v>
      </c>
      <c r="D378" s="718"/>
      <c r="E378" s="719">
        <v>112</v>
      </c>
      <c r="F378" s="720" t="s">
        <v>795</v>
      </c>
      <c r="G378" s="684" t="e">
        <f>INT(#REF!*#REF!)</f>
        <v>#REF!</v>
      </c>
      <c r="H378" s="684" t="e">
        <f>INT(#REF!*#REF!)</f>
        <v>#REF!</v>
      </c>
      <c r="I378" s="684" t="e">
        <f>SUM(H378:H378)</f>
        <v>#REF!</v>
      </c>
    </row>
    <row r="379" spans="1:9" ht="57" hidden="1" customHeight="1">
      <c r="A379" s="724"/>
      <c r="B379" s="724"/>
      <c r="C379" s="718" t="s">
        <v>384</v>
      </c>
      <c r="D379" s="718"/>
      <c r="E379" s="719">
        <v>112</v>
      </c>
      <c r="F379" s="720" t="s">
        <v>795</v>
      </c>
      <c r="G379" s="684" t="e">
        <f>INT(#REF!*#REF!)</f>
        <v>#REF!</v>
      </c>
      <c r="H379" s="684" t="e">
        <f>INT(#REF!*#REF!)</f>
        <v>#REF!</v>
      </c>
      <c r="I379" s="684" t="e">
        <f>SUM(H379:H379)</f>
        <v>#REF!</v>
      </c>
    </row>
    <row r="380" spans="1:9" s="848" customFormat="1" ht="66.75" customHeight="1">
      <c r="A380" s="1011" t="s">
        <v>723</v>
      </c>
      <c r="B380" s="1012"/>
      <c r="C380" s="1013"/>
      <c r="D380" s="708"/>
      <c r="E380" s="709"/>
      <c r="F380" s="710"/>
      <c r="G380" s="545">
        <f>SUM(G381:G381)</f>
        <v>207388.80000000002</v>
      </c>
      <c r="H380" s="545">
        <f>SUM(H381:H381)</f>
        <v>138259.20000000001</v>
      </c>
      <c r="I380" s="545">
        <f>G380+H380</f>
        <v>345648</v>
      </c>
    </row>
    <row r="381" spans="1:9" ht="66.75" customHeight="1">
      <c r="A381" s="1014" t="s">
        <v>2319</v>
      </c>
      <c r="B381" s="1015"/>
      <c r="C381" s="1016"/>
      <c r="D381" s="788" t="s">
        <v>2339</v>
      </c>
      <c r="E381" s="713" t="s">
        <v>1321</v>
      </c>
      <c r="F381" s="712">
        <v>169717</v>
      </c>
      <c r="G381" s="737">
        <f>I381/10*6</f>
        <v>207388.80000000002</v>
      </c>
      <c r="H381" s="737">
        <f>I381/10*4</f>
        <v>138259.20000000001</v>
      </c>
      <c r="I381" s="737">
        <v>345648</v>
      </c>
    </row>
    <row r="382" spans="1:9" ht="38.25" customHeight="1">
      <c r="A382" s="686"/>
      <c r="B382" s="686"/>
      <c r="C382" s="687"/>
      <c r="D382" s="687"/>
      <c r="E382" s="687"/>
      <c r="F382" s="687"/>
      <c r="G382" s="686"/>
      <c r="H382" s="686"/>
      <c r="I382" s="686"/>
    </row>
    <row r="383" spans="1:9" ht="60" customHeight="1">
      <c r="A383" s="1017" t="s">
        <v>200</v>
      </c>
      <c r="B383" s="1018"/>
      <c r="C383" s="1018"/>
      <c r="D383" s="1018"/>
      <c r="E383" s="1018"/>
      <c r="F383" s="1019"/>
      <c r="G383" s="688">
        <f>G359+G361+G372+G374+G380</f>
        <v>2964277.8</v>
      </c>
      <c r="H383" s="688">
        <f>H359+H361+H372+H374+H380</f>
        <v>1976185.2</v>
      </c>
      <c r="I383" s="688">
        <f>G383+H383</f>
        <v>4940463</v>
      </c>
    </row>
    <row r="384" spans="1:9" s="850" customFormat="1" ht="45.75" customHeight="1">
      <c r="A384" s="1041" t="s">
        <v>2455</v>
      </c>
      <c r="B384" s="1041"/>
      <c r="C384" s="1042"/>
      <c r="D384" s="1042"/>
      <c r="E384" s="1042"/>
      <c r="F384" s="1042"/>
      <c r="G384" s="1042"/>
      <c r="H384" s="1042"/>
      <c r="I384" s="1042"/>
    </row>
    <row r="385" spans="1:9" ht="20.100000000000001" customHeight="1">
      <c r="A385" s="65"/>
      <c r="B385" s="65"/>
      <c r="C385" s="65"/>
      <c r="D385" s="65"/>
      <c r="E385" s="65"/>
      <c r="F385" s="65"/>
      <c r="G385" s="68"/>
      <c r="H385" s="68"/>
      <c r="I385" s="68"/>
    </row>
    <row r="386" spans="1:9" ht="45">
      <c r="A386" s="979" t="s">
        <v>2493</v>
      </c>
      <c r="B386" s="979"/>
      <c r="C386" s="979"/>
      <c r="D386" s="979"/>
      <c r="E386" s="979"/>
      <c r="F386" s="979"/>
      <c r="G386" s="979"/>
      <c r="H386" s="979"/>
      <c r="I386" s="979"/>
    </row>
    <row r="387" spans="1:9" ht="45">
      <c r="A387" s="979" t="s">
        <v>52</v>
      </c>
      <c r="B387" s="979"/>
      <c r="C387" s="979"/>
      <c r="D387" s="979"/>
      <c r="E387" s="979"/>
      <c r="F387" s="979"/>
      <c r="G387" s="979"/>
      <c r="H387" s="979"/>
      <c r="I387" s="979"/>
    </row>
    <row r="388" spans="1:9" ht="45">
      <c r="A388" s="1040" t="s">
        <v>50</v>
      </c>
      <c r="B388" s="1040"/>
      <c r="C388" s="1040"/>
      <c r="D388" s="1040"/>
      <c r="E388" s="1040"/>
      <c r="F388" s="1040"/>
      <c r="G388" s="1040"/>
      <c r="H388" s="1040"/>
      <c r="I388" s="1040"/>
    </row>
    <row r="389" spans="1:9" ht="44.25">
      <c r="A389" s="736"/>
      <c r="B389" s="736"/>
      <c r="C389" s="736"/>
      <c r="D389" s="736"/>
      <c r="E389" s="736"/>
      <c r="F389" s="736"/>
      <c r="G389" s="838"/>
      <c r="H389" s="838"/>
      <c r="I389" s="838"/>
    </row>
    <row r="390" spans="1:9" ht="45">
      <c r="A390" s="979" t="s">
        <v>1489</v>
      </c>
      <c r="B390" s="979"/>
      <c r="C390" s="979"/>
      <c r="D390" s="979"/>
      <c r="E390" s="979"/>
      <c r="F390" s="979"/>
      <c r="G390" s="979"/>
      <c r="H390" s="979"/>
      <c r="I390" s="979"/>
    </row>
    <row r="391" spans="1:9" s="850" customFormat="1" ht="33">
      <c r="A391" s="65"/>
      <c r="B391" s="65"/>
      <c r="C391" s="65"/>
      <c r="D391" s="65"/>
      <c r="E391" s="65"/>
      <c r="F391" s="65"/>
      <c r="G391" s="68"/>
      <c r="H391" s="68"/>
      <c r="I391" s="68"/>
    </row>
    <row r="392" spans="1:9" ht="20.100000000000001" customHeight="1">
      <c r="A392" s="65"/>
      <c r="B392" s="65"/>
      <c r="C392" s="65"/>
      <c r="D392" s="65"/>
      <c r="E392" s="65"/>
      <c r="F392" s="65"/>
      <c r="G392" s="68"/>
      <c r="H392" s="68"/>
      <c r="I392" s="68"/>
    </row>
    <row r="393" spans="1:9" ht="20.100000000000001" customHeight="1">
      <c r="A393" s="979"/>
      <c r="B393" s="979"/>
      <c r="C393" s="979"/>
      <c r="D393" s="979"/>
      <c r="E393" s="979"/>
      <c r="F393" s="979"/>
      <c r="G393" s="979"/>
      <c r="H393" s="979"/>
      <c r="I393" s="979"/>
    </row>
    <row r="394" spans="1:9" ht="45.75" customHeight="1">
      <c r="A394" s="1029" t="s">
        <v>1370</v>
      </c>
      <c r="B394" s="1029"/>
      <c r="C394" s="1030"/>
      <c r="D394" s="1030"/>
      <c r="E394" s="1030"/>
      <c r="F394" s="1030"/>
      <c r="G394" s="1030"/>
      <c r="H394" s="1030"/>
      <c r="I394" s="1030"/>
    </row>
    <row r="395" spans="1:9" s="848" customFormat="1" ht="68.25" customHeight="1">
      <c r="A395" s="1031" t="s">
        <v>37</v>
      </c>
      <c r="B395" s="1032"/>
      <c r="C395" s="1033"/>
      <c r="D395" s="1037" t="s">
        <v>14</v>
      </c>
      <c r="E395" s="1037" t="s">
        <v>1515</v>
      </c>
      <c r="F395" s="1037" t="s">
        <v>16</v>
      </c>
      <c r="G395" s="1039" t="s">
        <v>1490</v>
      </c>
      <c r="H395" s="1039" t="s">
        <v>2454</v>
      </c>
      <c r="I395" s="1037" t="s">
        <v>200</v>
      </c>
    </row>
    <row r="396" spans="1:9" s="848" customFormat="1" ht="75.75" customHeight="1">
      <c r="A396" s="1034"/>
      <c r="B396" s="1035"/>
      <c r="C396" s="1036"/>
      <c r="D396" s="1038"/>
      <c r="E396" s="1038"/>
      <c r="F396" s="1038"/>
      <c r="G396" s="1039"/>
      <c r="H396" s="1039"/>
      <c r="I396" s="1038"/>
    </row>
    <row r="397" spans="1:9" s="848" customFormat="1" ht="66.75" customHeight="1">
      <c r="A397" s="1011" t="s">
        <v>273</v>
      </c>
      <c r="B397" s="1012"/>
      <c r="C397" s="1013"/>
      <c r="D397" s="708"/>
      <c r="E397" s="709"/>
      <c r="F397" s="710"/>
      <c r="G397" s="545">
        <f>SUM(G398:G402)</f>
        <v>92577.600000000006</v>
      </c>
      <c r="H397" s="545">
        <f>SUM(H398:H402)</f>
        <v>61718.400000000001</v>
      </c>
      <c r="I397" s="545">
        <f>G397+H397</f>
        <v>154296</v>
      </c>
    </row>
    <row r="398" spans="1:9" ht="66.75" customHeight="1">
      <c r="A398" s="1014" t="s">
        <v>1035</v>
      </c>
      <c r="B398" s="1015"/>
      <c r="C398" s="1016"/>
      <c r="D398" s="795" t="s">
        <v>1038</v>
      </c>
      <c r="E398" s="711">
        <v>8100</v>
      </c>
      <c r="F398" s="712">
        <v>169711</v>
      </c>
      <c r="G398" s="737">
        <f>I398/10*6</f>
        <v>19737.599999999999</v>
      </c>
      <c r="H398" s="737">
        <f>I398/10*4</f>
        <v>13158.4</v>
      </c>
      <c r="I398" s="737">
        <v>32896</v>
      </c>
    </row>
    <row r="399" spans="1:9" ht="68.25" customHeight="1">
      <c r="A399" s="1014" t="s">
        <v>1371</v>
      </c>
      <c r="B399" s="1015"/>
      <c r="C399" s="1016"/>
      <c r="D399" s="795" t="s">
        <v>1384</v>
      </c>
      <c r="E399" s="711">
        <v>8100</v>
      </c>
      <c r="F399" s="712">
        <v>169711</v>
      </c>
      <c r="G399" s="737">
        <f>I399/10*6</f>
        <v>7320</v>
      </c>
      <c r="H399" s="737">
        <f>I399/10*4</f>
        <v>4880</v>
      </c>
      <c r="I399" s="737">
        <v>12200</v>
      </c>
    </row>
    <row r="400" spans="1:9" ht="66.75" customHeight="1">
      <c r="A400" s="1014" t="s">
        <v>494</v>
      </c>
      <c r="B400" s="1015"/>
      <c r="C400" s="1016"/>
      <c r="D400" s="795" t="s">
        <v>2382</v>
      </c>
      <c r="E400" s="711">
        <v>8100</v>
      </c>
      <c r="F400" s="712">
        <v>169711</v>
      </c>
      <c r="G400" s="737">
        <f>I400/10*6</f>
        <v>31320</v>
      </c>
      <c r="H400" s="737">
        <f>I400/10*4</f>
        <v>20880</v>
      </c>
      <c r="I400" s="737">
        <v>52200</v>
      </c>
    </row>
    <row r="401" spans="1:9" ht="68.25" customHeight="1">
      <c r="A401" s="1014" t="s">
        <v>1342</v>
      </c>
      <c r="B401" s="1015"/>
      <c r="C401" s="1016"/>
      <c r="D401" s="795" t="s">
        <v>1385</v>
      </c>
      <c r="E401" s="711">
        <v>8100</v>
      </c>
      <c r="F401" s="712">
        <v>169711</v>
      </c>
      <c r="G401" s="737">
        <f>I401/10*6</f>
        <v>19200</v>
      </c>
      <c r="H401" s="737">
        <f>I401/10*4</f>
        <v>12800</v>
      </c>
      <c r="I401" s="737">
        <v>32000</v>
      </c>
    </row>
    <row r="402" spans="1:9" ht="66.75" customHeight="1">
      <c r="A402" s="1014" t="s">
        <v>495</v>
      </c>
      <c r="B402" s="1015"/>
      <c r="C402" s="1016"/>
      <c r="D402" s="795" t="s">
        <v>2383</v>
      </c>
      <c r="E402" s="711">
        <v>8100</v>
      </c>
      <c r="F402" s="712">
        <v>169711</v>
      </c>
      <c r="G402" s="737">
        <f>I402/10*6</f>
        <v>15000</v>
      </c>
      <c r="H402" s="737">
        <f>I402/10*4</f>
        <v>10000</v>
      </c>
      <c r="I402" s="737">
        <v>25000</v>
      </c>
    </row>
    <row r="403" spans="1:9" s="848" customFormat="1" ht="66.75" customHeight="1">
      <c r="A403" s="1011" t="s">
        <v>278</v>
      </c>
      <c r="B403" s="1012"/>
      <c r="C403" s="1013"/>
      <c r="D403" s="708"/>
      <c r="E403" s="709"/>
      <c r="F403" s="710"/>
      <c r="G403" s="545">
        <f>SUM(G404:G408)</f>
        <v>96499.199999999997</v>
      </c>
      <c r="H403" s="545">
        <f>SUM(H404:H408)</f>
        <v>64332.800000000003</v>
      </c>
      <c r="I403" s="545">
        <f>G403+H403</f>
        <v>160832</v>
      </c>
    </row>
    <row r="404" spans="1:9" ht="66.75" customHeight="1">
      <c r="A404" s="1014" t="s">
        <v>1099</v>
      </c>
      <c r="B404" s="1015"/>
      <c r="C404" s="1016"/>
      <c r="D404" s="788" t="s">
        <v>2325</v>
      </c>
      <c r="E404" s="711">
        <v>8100</v>
      </c>
      <c r="F404" s="794" t="s">
        <v>2445</v>
      </c>
      <c r="G404" s="737">
        <f>I404/10*6</f>
        <v>15360</v>
      </c>
      <c r="H404" s="737">
        <f>I404/10*4</f>
        <v>10240</v>
      </c>
      <c r="I404" s="737">
        <v>25600</v>
      </c>
    </row>
    <row r="405" spans="1:9" ht="66.75" customHeight="1">
      <c r="A405" s="1014" t="s">
        <v>1343</v>
      </c>
      <c r="B405" s="1015"/>
      <c r="C405" s="1016"/>
      <c r="D405" s="788" t="s">
        <v>2326</v>
      </c>
      <c r="E405" s="711">
        <v>8100</v>
      </c>
      <c r="F405" s="794" t="s">
        <v>2445</v>
      </c>
      <c r="G405" s="737">
        <f>I405/10*6</f>
        <v>20400</v>
      </c>
      <c r="H405" s="737">
        <f>I405/10*4</f>
        <v>13600</v>
      </c>
      <c r="I405" s="737">
        <v>34000</v>
      </c>
    </row>
    <row r="406" spans="1:9" ht="66.75" customHeight="1">
      <c r="A406" s="1014" t="s">
        <v>1344</v>
      </c>
      <c r="B406" s="1015"/>
      <c r="C406" s="1016"/>
      <c r="D406" s="788" t="s">
        <v>2327</v>
      </c>
      <c r="E406" s="711">
        <v>8100</v>
      </c>
      <c r="F406" s="794" t="s">
        <v>2445</v>
      </c>
      <c r="G406" s="737">
        <f>I406/10*6</f>
        <v>18000</v>
      </c>
      <c r="H406" s="737">
        <f>I406/10*4</f>
        <v>12000</v>
      </c>
      <c r="I406" s="737">
        <v>30000</v>
      </c>
    </row>
    <row r="407" spans="1:9" ht="66.75" customHeight="1">
      <c r="A407" s="1014" t="s">
        <v>1345</v>
      </c>
      <c r="B407" s="1015"/>
      <c r="C407" s="1016"/>
      <c r="D407" s="788" t="s">
        <v>2328</v>
      </c>
      <c r="E407" s="711">
        <v>8100</v>
      </c>
      <c r="F407" s="794" t="s">
        <v>2445</v>
      </c>
      <c r="G407" s="737">
        <f>I407/10*6</f>
        <v>14400</v>
      </c>
      <c r="H407" s="737">
        <f>I407/10*4</f>
        <v>9600</v>
      </c>
      <c r="I407" s="737">
        <v>24000</v>
      </c>
    </row>
    <row r="408" spans="1:9" ht="66.75" customHeight="1">
      <c r="A408" s="1014" t="s">
        <v>937</v>
      </c>
      <c r="B408" s="1015"/>
      <c r="C408" s="1016"/>
      <c r="D408" s="788" t="s">
        <v>2329</v>
      </c>
      <c r="E408" s="711">
        <v>8100</v>
      </c>
      <c r="F408" s="794" t="s">
        <v>2445</v>
      </c>
      <c r="G408" s="737">
        <f>I408/10*6</f>
        <v>28339.199999999997</v>
      </c>
      <c r="H408" s="737">
        <f>I408/10*4</f>
        <v>18892.8</v>
      </c>
      <c r="I408" s="737">
        <v>47232</v>
      </c>
    </row>
    <row r="409" spans="1:9" ht="38.25" customHeight="1">
      <c r="A409" s="686"/>
      <c r="B409" s="686"/>
      <c r="C409" s="687"/>
      <c r="D409" s="687"/>
      <c r="E409" s="687"/>
      <c r="F409" s="687"/>
      <c r="G409" s="686"/>
      <c r="H409" s="686"/>
      <c r="I409" s="686"/>
    </row>
    <row r="410" spans="1:9" ht="60" customHeight="1">
      <c r="A410" s="1017" t="s">
        <v>200</v>
      </c>
      <c r="B410" s="1018"/>
      <c r="C410" s="1018"/>
      <c r="D410" s="1018"/>
      <c r="E410" s="1018"/>
      <c r="F410" s="1019"/>
      <c r="G410" s="688">
        <f>G397+G403</f>
        <v>189076.8</v>
      </c>
      <c r="H410" s="688">
        <f>H397+H403</f>
        <v>126051.20000000001</v>
      </c>
      <c r="I410" s="688">
        <f>G410+H410</f>
        <v>315128</v>
      </c>
    </row>
    <row r="411" spans="1:9" s="850" customFormat="1" ht="45.75" customHeight="1">
      <c r="A411" s="1041" t="s">
        <v>2455</v>
      </c>
      <c r="B411" s="1041"/>
      <c r="C411" s="1042"/>
      <c r="D411" s="1042"/>
      <c r="E411" s="1042"/>
      <c r="F411" s="1042"/>
      <c r="G411" s="1042"/>
      <c r="H411" s="1042"/>
      <c r="I411" s="1042"/>
    </row>
    <row r="412" spans="1:9" ht="20.100000000000001" customHeight="1">
      <c r="A412" s="65"/>
      <c r="B412" s="65"/>
      <c r="C412" s="65"/>
      <c r="D412" s="65"/>
      <c r="E412" s="65"/>
      <c r="F412" s="65"/>
      <c r="G412" s="68"/>
      <c r="H412" s="68"/>
      <c r="I412" s="68"/>
    </row>
    <row r="413" spans="1:9" ht="45">
      <c r="A413" s="979" t="s">
        <v>2493</v>
      </c>
      <c r="B413" s="979"/>
      <c r="C413" s="979"/>
      <c r="D413" s="979"/>
      <c r="E413" s="979"/>
      <c r="F413" s="979"/>
      <c r="G413" s="979"/>
      <c r="H413" s="979"/>
      <c r="I413" s="979"/>
    </row>
    <row r="414" spans="1:9" ht="45">
      <c r="A414" s="979" t="s">
        <v>52</v>
      </c>
      <c r="B414" s="979"/>
      <c r="C414" s="979"/>
      <c r="D414" s="979"/>
      <c r="E414" s="979"/>
      <c r="F414" s="979"/>
      <c r="G414" s="979"/>
      <c r="H414" s="979"/>
      <c r="I414" s="979"/>
    </row>
    <row r="415" spans="1:9" ht="45">
      <c r="A415" s="1040" t="s">
        <v>50</v>
      </c>
      <c r="B415" s="1040"/>
      <c r="C415" s="1040"/>
      <c r="D415" s="1040"/>
      <c r="E415" s="1040"/>
      <c r="F415" s="1040"/>
      <c r="G415" s="1040"/>
      <c r="H415" s="1040"/>
      <c r="I415" s="1040"/>
    </row>
    <row r="416" spans="1:9" ht="44.25">
      <c r="A416" s="736"/>
      <c r="B416" s="736"/>
      <c r="C416" s="736"/>
      <c r="D416" s="736"/>
      <c r="E416" s="736"/>
      <c r="F416" s="736"/>
      <c r="G416" s="838"/>
      <c r="H416" s="838"/>
      <c r="I416" s="838"/>
    </row>
    <row r="417" spans="1:9" ht="45">
      <c r="A417" s="979" t="s">
        <v>1489</v>
      </c>
      <c r="B417" s="979"/>
      <c r="C417" s="979"/>
      <c r="D417" s="979"/>
      <c r="E417" s="979"/>
      <c r="F417" s="979"/>
      <c r="G417" s="979"/>
      <c r="H417" s="979"/>
      <c r="I417" s="979"/>
    </row>
    <row r="418" spans="1:9" ht="45">
      <c r="A418" s="824"/>
      <c r="B418" s="824"/>
      <c r="C418" s="824"/>
      <c r="D418" s="824"/>
      <c r="E418" s="824"/>
      <c r="F418" s="824"/>
      <c r="G418" s="824"/>
      <c r="H418" s="824"/>
      <c r="I418" s="824"/>
    </row>
    <row r="419" spans="1:9" ht="45">
      <c r="A419" s="824"/>
      <c r="B419" s="824"/>
      <c r="C419" s="824"/>
      <c r="D419" s="824"/>
      <c r="E419" s="824"/>
      <c r="F419" s="824"/>
      <c r="G419" s="824"/>
      <c r="H419" s="824"/>
      <c r="I419" s="824"/>
    </row>
    <row r="420" spans="1:9" ht="19.5" customHeight="1">
      <c r="A420" s="979"/>
      <c r="B420" s="979"/>
      <c r="C420" s="979"/>
      <c r="D420" s="979"/>
      <c r="E420" s="979"/>
      <c r="F420" s="979"/>
      <c r="G420" s="979"/>
      <c r="H420" s="979"/>
      <c r="I420" s="979"/>
    </row>
    <row r="421" spans="1:9" ht="45.75" customHeight="1">
      <c r="A421" s="1029" t="s">
        <v>1372</v>
      </c>
      <c r="B421" s="1029"/>
      <c r="C421" s="1030"/>
      <c r="D421" s="1030"/>
      <c r="E421" s="1030"/>
      <c r="F421" s="1030"/>
      <c r="G421" s="1030"/>
      <c r="H421" s="1030"/>
      <c r="I421" s="1030"/>
    </row>
    <row r="422" spans="1:9" s="848" customFormat="1" ht="68.25" customHeight="1">
      <c r="A422" s="1031" t="s">
        <v>37</v>
      </c>
      <c r="B422" s="1032"/>
      <c r="C422" s="1033"/>
      <c r="D422" s="1037" t="s">
        <v>14</v>
      </c>
      <c r="E422" s="1037" t="s">
        <v>1515</v>
      </c>
      <c r="F422" s="1037" t="s">
        <v>16</v>
      </c>
      <c r="G422" s="1039" t="s">
        <v>1490</v>
      </c>
      <c r="H422" s="1039" t="s">
        <v>2454</v>
      </c>
      <c r="I422" s="1037" t="s">
        <v>200</v>
      </c>
    </row>
    <row r="423" spans="1:9" s="848" customFormat="1" ht="75.75" customHeight="1">
      <c r="A423" s="1034"/>
      <c r="B423" s="1035"/>
      <c r="C423" s="1036"/>
      <c r="D423" s="1038"/>
      <c r="E423" s="1038"/>
      <c r="F423" s="1038"/>
      <c r="G423" s="1039"/>
      <c r="H423" s="1039"/>
      <c r="I423" s="1038"/>
    </row>
    <row r="424" spans="1:9" s="848" customFormat="1" ht="66.75" customHeight="1">
      <c r="A424" s="1011" t="s">
        <v>273</v>
      </c>
      <c r="B424" s="1012"/>
      <c r="C424" s="1013"/>
      <c r="D424" s="708"/>
      <c r="E424" s="709"/>
      <c r="F424" s="710"/>
      <c r="G424" s="545">
        <f>G425</f>
        <v>113520</v>
      </c>
      <c r="H424" s="545">
        <f>H425</f>
        <v>75680</v>
      </c>
      <c r="I424" s="545">
        <f>G424+H424</f>
        <v>189200</v>
      </c>
    </row>
    <row r="425" spans="1:9" ht="66.75" customHeight="1">
      <c r="A425" s="1014" t="s">
        <v>2384</v>
      </c>
      <c r="B425" s="1015"/>
      <c r="C425" s="1016"/>
      <c r="D425" s="791" t="s">
        <v>2386</v>
      </c>
      <c r="E425" s="711">
        <v>8100</v>
      </c>
      <c r="F425" s="712">
        <v>169711</v>
      </c>
      <c r="G425" s="737">
        <f>I425/10*6</f>
        <v>113520</v>
      </c>
      <c r="H425" s="737">
        <f>I425/10*4</f>
        <v>75680</v>
      </c>
      <c r="I425" s="737">
        <v>189200</v>
      </c>
    </row>
    <row r="426" spans="1:9" s="848" customFormat="1" ht="66.75" customHeight="1">
      <c r="A426" s="1011" t="s">
        <v>297</v>
      </c>
      <c r="B426" s="1012"/>
      <c r="C426" s="1013"/>
      <c r="D426" s="708"/>
      <c r="E426" s="709"/>
      <c r="F426" s="710"/>
      <c r="G426" s="545">
        <f>SUM(G427:G433)</f>
        <v>1230000</v>
      </c>
      <c r="H426" s="545">
        <f>SUM(H427:H433)</f>
        <v>820000</v>
      </c>
      <c r="I426" s="545">
        <f>G426+H426</f>
        <v>2050000</v>
      </c>
    </row>
    <row r="427" spans="1:9" ht="68.25" customHeight="1">
      <c r="A427" s="1014" t="s">
        <v>2389</v>
      </c>
      <c r="B427" s="1015"/>
      <c r="C427" s="1016"/>
      <c r="D427" s="791" t="s">
        <v>2391</v>
      </c>
      <c r="E427" s="711">
        <v>8100</v>
      </c>
      <c r="F427" s="712">
        <v>169711</v>
      </c>
      <c r="G427" s="737">
        <f t="shared" ref="G427:G433" si="9">I427/10*6</f>
        <v>180000</v>
      </c>
      <c r="H427" s="737">
        <f t="shared" ref="H427:H433" si="10">I427/10*4</f>
        <v>120000</v>
      </c>
      <c r="I427" s="737">
        <v>300000</v>
      </c>
    </row>
    <row r="428" spans="1:9" ht="66.75" customHeight="1">
      <c r="A428" s="1014" t="s">
        <v>2390</v>
      </c>
      <c r="B428" s="1015"/>
      <c r="C428" s="1016"/>
      <c r="D428" s="791" t="s">
        <v>2392</v>
      </c>
      <c r="E428" s="711">
        <v>8100</v>
      </c>
      <c r="F428" s="712">
        <v>169711</v>
      </c>
      <c r="G428" s="737">
        <f t="shared" si="9"/>
        <v>240000</v>
      </c>
      <c r="H428" s="737">
        <f t="shared" si="10"/>
        <v>160000</v>
      </c>
      <c r="I428" s="737">
        <v>400000</v>
      </c>
    </row>
    <row r="429" spans="1:9" ht="66.75" customHeight="1">
      <c r="A429" s="1014" t="s">
        <v>2393</v>
      </c>
      <c r="B429" s="1015"/>
      <c r="C429" s="1016"/>
      <c r="D429" s="791" t="s">
        <v>2394</v>
      </c>
      <c r="E429" s="711">
        <v>8100</v>
      </c>
      <c r="F429" s="712">
        <v>169711</v>
      </c>
      <c r="G429" s="737">
        <f t="shared" si="9"/>
        <v>480000</v>
      </c>
      <c r="H429" s="737">
        <f t="shared" si="10"/>
        <v>320000</v>
      </c>
      <c r="I429" s="737">
        <v>800000</v>
      </c>
    </row>
    <row r="430" spans="1:9" ht="66.75" customHeight="1">
      <c r="A430" s="1014" t="s">
        <v>2395</v>
      </c>
      <c r="B430" s="1015"/>
      <c r="C430" s="1016"/>
      <c r="D430" s="791" t="s">
        <v>2396</v>
      </c>
      <c r="E430" s="711">
        <v>8100</v>
      </c>
      <c r="F430" s="712">
        <v>169711</v>
      </c>
      <c r="G430" s="737">
        <f t="shared" si="9"/>
        <v>90000</v>
      </c>
      <c r="H430" s="737">
        <f t="shared" si="10"/>
        <v>60000</v>
      </c>
      <c r="I430" s="737">
        <v>150000</v>
      </c>
    </row>
    <row r="431" spans="1:9" ht="66.75" customHeight="1">
      <c r="A431" s="1014" t="s">
        <v>2397</v>
      </c>
      <c r="B431" s="1015"/>
      <c r="C431" s="1016"/>
      <c r="D431" s="791" t="s">
        <v>2398</v>
      </c>
      <c r="E431" s="711">
        <v>8100</v>
      </c>
      <c r="F431" s="712">
        <v>169711</v>
      </c>
      <c r="G431" s="737">
        <f t="shared" si="9"/>
        <v>90000</v>
      </c>
      <c r="H431" s="737">
        <f t="shared" si="10"/>
        <v>60000</v>
      </c>
      <c r="I431" s="737">
        <v>150000</v>
      </c>
    </row>
    <row r="432" spans="1:9" ht="66.75" customHeight="1">
      <c r="A432" s="1023" t="s">
        <v>2401</v>
      </c>
      <c r="B432" s="1024"/>
      <c r="C432" s="1025"/>
      <c r="D432" s="972" t="s">
        <v>2399</v>
      </c>
      <c r="E432" s="973">
        <v>8100</v>
      </c>
      <c r="F432" s="974">
        <v>169711</v>
      </c>
      <c r="G432" s="975">
        <f t="shared" si="9"/>
        <v>60000</v>
      </c>
      <c r="H432" s="975">
        <f t="shared" si="10"/>
        <v>40000</v>
      </c>
      <c r="I432" s="975">
        <v>100000</v>
      </c>
    </row>
    <row r="433" spans="1:9" ht="66.75" customHeight="1">
      <c r="A433" s="1014" t="s">
        <v>2402</v>
      </c>
      <c r="B433" s="1015"/>
      <c r="C433" s="1016"/>
      <c r="D433" s="791" t="s">
        <v>2400</v>
      </c>
      <c r="E433" s="711">
        <v>8100</v>
      </c>
      <c r="F433" s="712">
        <v>169711</v>
      </c>
      <c r="G433" s="737">
        <f t="shared" si="9"/>
        <v>90000</v>
      </c>
      <c r="H433" s="737">
        <f t="shared" si="10"/>
        <v>60000</v>
      </c>
      <c r="I433" s="737">
        <v>150000</v>
      </c>
    </row>
    <row r="434" spans="1:9" s="848" customFormat="1" ht="66.75" customHeight="1">
      <c r="A434" s="1011" t="s">
        <v>2278</v>
      </c>
      <c r="B434" s="1012"/>
      <c r="C434" s="1013"/>
      <c r="D434" s="708"/>
      <c r="E434" s="709"/>
      <c r="F434" s="710"/>
      <c r="G434" s="545">
        <f>SUM(G435:G436)</f>
        <v>816000</v>
      </c>
      <c r="H434" s="545">
        <f>SUM(H435:H436)</f>
        <v>544000</v>
      </c>
      <c r="I434" s="545">
        <f>G434+H434</f>
        <v>1360000</v>
      </c>
    </row>
    <row r="435" spans="1:9" ht="66.75" customHeight="1">
      <c r="A435" s="1014" t="s">
        <v>2387</v>
      </c>
      <c r="B435" s="1015"/>
      <c r="C435" s="1016"/>
      <c r="D435" s="791" t="s">
        <v>2403</v>
      </c>
      <c r="E435" s="793">
        <v>8100</v>
      </c>
      <c r="F435" s="712">
        <v>169711</v>
      </c>
      <c r="G435" s="737">
        <f>I435/10*6</f>
        <v>216000</v>
      </c>
      <c r="H435" s="737">
        <f>I435/10*4</f>
        <v>144000</v>
      </c>
      <c r="I435" s="737">
        <v>360000</v>
      </c>
    </row>
    <row r="436" spans="1:9" ht="66.75" customHeight="1">
      <c r="A436" s="1014" t="s">
        <v>2388</v>
      </c>
      <c r="B436" s="1015"/>
      <c r="C436" s="1016"/>
      <c r="D436" s="791" t="s">
        <v>2404</v>
      </c>
      <c r="E436" s="793">
        <v>8100</v>
      </c>
      <c r="F436" s="712">
        <v>169711</v>
      </c>
      <c r="G436" s="737">
        <f>I436/10*6</f>
        <v>600000</v>
      </c>
      <c r="H436" s="737">
        <f>I436/10*4</f>
        <v>400000</v>
      </c>
      <c r="I436" s="737">
        <v>1000000</v>
      </c>
    </row>
    <row r="437" spans="1:9" s="848" customFormat="1" ht="66.75" customHeight="1">
      <c r="A437" s="1011" t="s">
        <v>278</v>
      </c>
      <c r="B437" s="1012"/>
      <c r="C437" s="1013"/>
      <c r="D437" s="708"/>
      <c r="E437" s="709"/>
      <c r="F437" s="710"/>
      <c r="G437" s="545">
        <f>SUM(G438:G438)</f>
        <v>30000</v>
      </c>
      <c r="H437" s="545">
        <f>SUM(H438:H438)</f>
        <v>20000</v>
      </c>
      <c r="I437" s="545">
        <f>G437+H437</f>
        <v>50000</v>
      </c>
    </row>
    <row r="438" spans="1:9" ht="66.75" customHeight="1">
      <c r="A438" s="1014" t="s">
        <v>1346</v>
      </c>
      <c r="B438" s="1015"/>
      <c r="C438" s="1016"/>
      <c r="D438" s="791" t="s">
        <v>2405</v>
      </c>
      <c r="E438" s="711">
        <v>8100</v>
      </c>
      <c r="F438" s="794" t="s">
        <v>2445</v>
      </c>
      <c r="G438" s="737">
        <f>I438/10*6</f>
        <v>30000</v>
      </c>
      <c r="H438" s="737">
        <f>I438/10*4</f>
        <v>20000</v>
      </c>
      <c r="I438" s="737">
        <v>50000</v>
      </c>
    </row>
    <row r="439" spans="1:9" s="848" customFormat="1" ht="66.75" customHeight="1">
      <c r="A439" s="1011" t="s">
        <v>296</v>
      </c>
      <c r="B439" s="1012"/>
      <c r="C439" s="1013"/>
      <c r="D439" s="708"/>
      <c r="E439" s="709"/>
      <c r="F439" s="710"/>
      <c r="G439" s="545">
        <f>SUM(G440:G448)</f>
        <v>2652600</v>
      </c>
      <c r="H439" s="545">
        <f>SUM(H440:H448)</f>
        <v>1768400</v>
      </c>
      <c r="I439" s="545">
        <f>G439+H439</f>
        <v>4421000</v>
      </c>
    </row>
    <row r="440" spans="1:9" ht="66.75" customHeight="1">
      <c r="A440" s="1014" t="s">
        <v>2408</v>
      </c>
      <c r="B440" s="1015"/>
      <c r="C440" s="1016"/>
      <c r="D440" s="791" t="s">
        <v>2409</v>
      </c>
      <c r="E440" s="711">
        <v>8100</v>
      </c>
      <c r="F440" s="712">
        <v>169711</v>
      </c>
      <c r="G440" s="737">
        <f t="shared" ref="G440:G448" si="11">I440/10*6</f>
        <v>46800</v>
      </c>
      <c r="H440" s="737">
        <f t="shared" ref="H440:H448" si="12">I440/10*4</f>
        <v>31200</v>
      </c>
      <c r="I440" s="737">
        <v>78000</v>
      </c>
    </row>
    <row r="441" spans="1:9" ht="66.75" customHeight="1">
      <c r="A441" s="1014" t="s">
        <v>2412</v>
      </c>
      <c r="B441" s="1015"/>
      <c r="C441" s="1016"/>
      <c r="D441" s="791" t="s">
        <v>2414</v>
      </c>
      <c r="E441" s="711">
        <v>8100</v>
      </c>
      <c r="F441" s="712">
        <v>169711</v>
      </c>
      <c r="G441" s="737">
        <f>I441/10*6</f>
        <v>180000</v>
      </c>
      <c r="H441" s="737">
        <f>I441/10*4</f>
        <v>120000</v>
      </c>
      <c r="I441" s="737">
        <v>300000</v>
      </c>
    </row>
    <row r="442" spans="1:9" ht="66.75" customHeight="1">
      <c r="A442" s="1014" t="s">
        <v>2413</v>
      </c>
      <c r="B442" s="1015"/>
      <c r="C442" s="1016"/>
      <c r="D442" s="791" t="s">
        <v>2415</v>
      </c>
      <c r="E442" s="711">
        <v>8100</v>
      </c>
      <c r="F442" s="712">
        <v>169711</v>
      </c>
      <c r="G442" s="737">
        <f>I442/10*6</f>
        <v>75000</v>
      </c>
      <c r="H442" s="737">
        <f>I442/10*4</f>
        <v>50000</v>
      </c>
      <c r="I442" s="737">
        <v>125000</v>
      </c>
    </row>
    <row r="443" spans="1:9" ht="66.75" customHeight="1">
      <c r="A443" s="1014" t="s">
        <v>2416</v>
      </c>
      <c r="B443" s="1015"/>
      <c r="C443" s="1016"/>
      <c r="D443" s="791" t="s">
        <v>2417</v>
      </c>
      <c r="E443" s="711">
        <v>8100</v>
      </c>
      <c r="F443" s="712">
        <v>169711</v>
      </c>
      <c r="G443" s="737">
        <f>I443/10*6</f>
        <v>1108800</v>
      </c>
      <c r="H443" s="737">
        <f>I443/10*4</f>
        <v>739200</v>
      </c>
      <c r="I443" s="737">
        <v>1848000</v>
      </c>
    </row>
    <row r="444" spans="1:9" ht="66.75" customHeight="1">
      <c r="A444" s="1014" t="s">
        <v>2418</v>
      </c>
      <c r="B444" s="1015"/>
      <c r="C444" s="1016"/>
      <c r="D444" s="791" t="s">
        <v>2419</v>
      </c>
      <c r="E444" s="711">
        <v>8100</v>
      </c>
      <c r="F444" s="712">
        <v>169711</v>
      </c>
      <c r="G444" s="737">
        <f>I444/10*6</f>
        <v>374400</v>
      </c>
      <c r="H444" s="737">
        <f>I444/10*4</f>
        <v>249600</v>
      </c>
      <c r="I444" s="737">
        <v>624000</v>
      </c>
    </row>
    <row r="445" spans="1:9" ht="66.75" customHeight="1">
      <c r="A445" s="1014" t="s">
        <v>2420</v>
      </c>
      <c r="B445" s="1015"/>
      <c r="C445" s="1016"/>
      <c r="D445" s="791" t="s">
        <v>2421</v>
      </c>
      <c r="E445" s="711">
        <v>8100</v>
      </c>
      <c r="F445" s="712">
        <v>169711</v>
      </c>
      <c r="G445" s="737">
        <f>I445/10*6</f>
        <v>258000</v>
      </c>
      <c r="H445" s="737">
        <f>I445/10*4</f>
        <v>172000</v>
      </c>
      <c r="I445" s="737">
        <v>430000</v>
      </c>
    </row>
    <row r="446" spans="1:9" ht="66.75" customHeight="1">
      <c r="A446" s="1014" t="s">
        <v>2410</v>
      </c>
      <c r="B446" s="1015"/>
      <c r="C446" s="1016"/>
      <c r="D446" s="791" t="s">
        <v>2411</v>
      </c>
      <c r="E446" s="711">
        <v>8100</v>
      </c>
      <c r="F446" s="712">
        <v>169711</v>
      </c>
      <c r="G446" s="737">
        <f t="shared" si="11"/>
        <v>28800</v>
      </c>
      <c r="H446" s="737">
        <f t="shared" si="12"/>
        <v>19200</v>
      </c>
      <c r="I446" s="737">
        <v>48000</v>
      </c>
    </row>
    <row r="447" spans="1:9" ht="66.75" customHeight="1">
      <c r="A447" s="1014" t="s">
        <v>2422</v>
      </c>
      <c r="B447" s="1015"/>
      <c r="C447" s="1016"/>
      <c r="D447" s="791" t="s">
        <v>2423</v>
      </c>
      <c r="E447" s="711">
        <v>8100</v>
      </c>
      <c r="F447" s="712">
        <v>169711</v>
      </c>
      <c r="G447" s="737">
        <f t="shared" si="11"/>
        <v>460800</v>
      </c>
      <c r="H447" s="737">
        <f t="shared" si="12"/>
        <v>307200</v>
      </c>
      <c r="I447" s="737">
        <v>768000</v>
      </c>
    </row>
    <row r="448" spans="1:9" ht="66.75" customHeight="1">
      <c r="A448" s="1014" t="s">
        <v>2424</v>
      </c>
      <c r="B448" s="1015"/>
      <c r="C448" s="1016"/>
      <c r="D448" s="791" t="s">
        <v>2425</v>
      </c>
      <c r="E448" s="711">
        <v>8100</v>
      </c>
      <c r="F448" s="712">
        <v>169711</v>
      </c>
      <c r="G448" s="737">
        <f t="shared" si="11"/>
        <v>120000</v>
      </c>
      <c r="H448" s="737">
        <f t="shared" si="12"/>
        <v>80000</v>
      </c>
      <c r="I448" s="737">
        <v>200000</v>
      </c>
    </row>
    <row r="449" spans="1:9" s="848" customFormat="1" ht="66.75" customHeight="1">
      <c r="A449" s="1011" t="s">
        <v>723</v>
      </c>
      <c r="B449" s="1012"/>
      <c r="C449" s="1013"/>
      <c r="D449" s="708"/>
      <c r="E449" s="709"/>
      <c r="F449" s="710"/>
      <c r="G449" s="545">
        <f>SUM(G450:G450)</f>
        <v>318000</v>
      </c>
      <c r="H449" s="545">
        <f>SUM(H450:H450)</f>
        <v>212000</v>
      </c>
      <c r="I449" s="545">
        <f>G449+H449</f>
        <v>530000</v>
      </c>
    </row>
    <row r="450" spans="1:9" ht="66.75" customHeight="1">
      <c r="A450" s="1014" t="s">
        <v>2406</v>
      </c>
      <c r="B450" s="1015"/>
      <c r="C450" s="1016"/>
      <c r="D450" s="791" t="s">
        <v>2407</v>
      </c>
      <c r="E450" s="713" t="s">
        <v>1321</v>
      </c>
      <c r="F450" s="712">
        <v>169717</v>
      </c>
      <c r="G450" s="737">
        <f>I450/10*6</f>
        <v>318000</v>
      </c>
      <c r="H450" s="737">
        <f>I450/10*4</f>
        <v>212000</v>
      </c>
      <c r="I450" s="737">
        <v>530000</v>
      </c>
    </row>
    <row r="451" spans="1:9" ht="38.25" customHeight="1">
      <c r="A451" s="686"/>
      <c r="B451" s="686"/>
      <c r="C451" s="687"/>
      <c r="D451" s="687"/>
      <c r="E451" s="687"/>
      <c r="F451" s="687"/>
      <c r="G451" s="686"/>
      <c r="H451" s="686"/>
      <c r="I451" s="686"/>
    </row>
    <row r="452" spans="1:9" ht="60" customHeight="1">
      <c r="A452" s="1017" t="s">
        <v>200</v>
      </c>
      <c r="B452" s="1018"/>
      <c r="C452" s="1018"/>
      <c r="D452" s="1018"/>
      <c r="E452" s="1018"/>
      <c r="F452" s="1019"/>
      <c r="G452" s="688">
        <f>G424+G426+G434+G437+G439+G449</f>
        <v>5160120</v>
      </c>
      <c r="H452" s="688">
        <f>H424+H426+H434+H437+H439+H449</f>
        <v>3440080</v>
      </c>
      <c r="I452" s="688">
        <f>G452+H452</f>
        <v>8600200</v>
      </c>
    </row>
    <row r="453" spans="1:9" ht="60" customHeight="1">
      <c r="A453" s="1041" t="s">
        <v>2455</v>
      </c>
      <c r="B453" s="1041"/>
      <c r="C453" s="1042"/>
      <c r="D453" s="1042"/>
      <c r="E453" s="1042"/>
      <c r="F453" s="1042"/>
      <c r="G453" s="1042"/>
      <c r="H453" s="1042"/>
      <c r="I453" s="1042"/>
    </row>
    <row r="454" spans="1:9" ht="45">
      <c r="A454" s="979" t="s">
        <v>2493</v>
      </c>
      <c r="B454" s="979"/>
      <c r="C454" s="979"/>
      <c r="D454" s="979"/>
      <c r="E454" s="979"/>
      <c r="F454" s="979"/>
      <c r="G454" s="979"/>
      <c r="H454" s="979"/>
      <c r="I454" s="979"/>
    </row>
    <row r="455" spans="1:9" ht="45">
      <c r="A455" s="979" t="s">
        <v>52</v>
      </c>
      <c r="B455" s="979"/>
      <c r="C455" s="979"/>
      <c r="D455" s="979"/>
      <c r="E455" s="979"/>
      <c r="F455" s="979"/>
      <c r="G455" s="979"/>
      <c r="H455" s="979"/>
      <c r="I455" s="979"/>
    </row>
    <row r="456" spans="1:9" ht="45">
      <c r="A456" s="1040" t="s">
        <v>50</v>
      </c>
      <c r="B456" s="1040"/>
      <c r="C456" s="1040"/>
      <c r="D456" s="1040"/>
      <c r="E456" s="1040"/>
      <c r="F456" s="1040"/>
      <c r="G456" s="1040"/>
      <c r="H456" s="1040"/>
      <c r="I456" s="1040"/>
    </row>
    <row r="457" spans="1:9" ht="44.25">
      <c r="A457" s="736"/>
      <c r="B457" s="736"/>
      <c r="C457" s="736"/>
      <c r="D457" s="736"/>
      <c r="E457" s="736"/>
      <c r="F457" s="736"/>
      <c r="G457" s="838"/>
      <c r="H457" s="838"/>
      <c r="I457" s="838"/>
    </row>
    <row r="458" spans="1:9" ht="45">
      <c r="A458" s="979" t="s">
        <v>1489</v>
      </c>
      <c r="B458" s="979"/>
      <c r="C458" s="979"/>
      <c r="D458" s="979"/>
      <c r="E458" s="979"/>
      <c r="F458" s="979"/>
      <c r="G458" s="979"/>
      <c r="H458" s="979"/>
      <c r="I458" s="979"/>
    </row>
    <row r="459" spans="1:9" s="850" customFormat="1" ht="33">
      <c r="A459" s="65"/>
      <c r="B459" s="65"/>
      <c r="C459" s="65"/>
      <c r="D459" s="65"/>
      <c r="E459" s="65"/>
      <c r="F459" s="65"/>
      <c r="G459" s="68"/>
      <c r="H459" s="68"/>
      <c r="I459" s="68"/>
    </row>
    <row r="460" spans="1:9" ht="20.100000000000001" customHeight="1">
      <c r="A460" s="65"/>
      <c r="B460" s="65"/>
      <c r="C460" s="65"/>
      <c r="D460" s="65"/>
      <c r="E460" s="65"/>
      <c r="F460" s="65"/>
      <c r="G460" s="68"/>
      <c r="H460" s="68"/>
      <c r="I460" s="68"/>
    </row>
    <row r="461" spans="1:9" ht="20.100000000000001" customHeight="1">
      <c r="A461" s="979"/>
      <c r="B461" s="979"/>
      <c r="C461" s="979"/>
      <c r="D461" s="979"/>
      <c r="E461" s="979"/>
      <c r="F461" s="979"/>
      <c r="G461" s="979"/>
      <c r="H461" s="979"/>
      <c r="I461" s="979"/>
    </row>
    <row r="462" spans="1:9" ht="45.75" customHeight="1">
      <c r="A462" s="1029" t="s">
        <v>1373</v>
      </c>
      <c r="B462" s="1029"/>
      <c r="C462" s="1030"/>
      <c r="D462" s="1030"/>
      <c r="E462" s="1030"/>
      <c r="F462" s="1030"/>
      <c r="G462" s="1030"/>
      <c r="H462" s="1030"/>
      <c r="I462" s="1030"/>
    </row>
    <row r="463" spans="1:9" s="848" customFormat="1" ht="68.25" customHeight="1">
      <c r="A463" s="1031" t="s">
        <v>37</v>
      </c>
      <c r="B463" s="1032"/>
      <c r="C463" s="1033"/>
      <c r="D463" s="1037" t="s">
        <v>14</v>
      </c>
      <c r="E463" s="1037" t="s">
        <v>1515</v>
      </c>
      <c r="F463" s="1037" t="s">
        <v>16</v>
      </c>
      <c r="G463" s="1039" t="s">
        <v>1490</v>
      </c>
      <c r="H463" s="1039" t="s">
        <v>2454</v>
      </c>
      <c r="I463" s="1037" t="s">
        <v>200</v>
      </c>
    </row>
    <row r="464" spans="1:9" s="848" customFormat="1" ht="75.75" customHeight="1">
      <c r="A464" s="1034"/>
      <c r="B464" s="1035"/>
      <c r="C464" s="1036"/>
      <c r="D464" s="1038"/>
      <c r="E464" s="1038"/>
      <c r="F464" s="1038"/>
      <c r="G464" s="1039"/>
      <c r="H464" s="1039"/>
      <c r="I464" s="1038"/>
    </row>
    <row r="465" spans="1:9" s="848" customFormat="1" ht="66.75" customHeight="1">
      <c r="A465" s="1011" t="s">
        <v>273</v>
      </c>
      <c r="B465" s="1012"/>
      <c r="C465" s="1013"/>
      <c r="D465" s="708"/>
      <c r="E465" s="709"/>
      <c r="F465" s="710"/>
      <c r="G465" s="545">
        <f>SUM(G466:G466)</f>
        <v>37678.199999999997</v>
      </c>
      <c r="H465" s="545">
        <f>SUM(H466:H466)</f>
        <v>25118.799999999999</v>
      </c>
      <c r="I465" s="545">
        <f>G465+H465</f>
        <v>62797</v>
      </c>
    </row>
    <row r="466" spans="1:9" ht="66.75" customHeight="1">
      <c r="A466" s="1014" t="s">
        <v>60</v>
      </c>
      <c r="B466" s="1015"/>
      <c r="C466" s="1016"/>
      <c r="D466" s="795" t="s">
        <v>1149</v>
      </c>
      <c r="E466" s="711">
        <v>8100</v>
      </c>
      <c r="F466" s="712">
        <v>169711</v>
      </c>
      <c r="G466" s="737">
        <f>I466/10*6</f>
        <v>37678.199999999997</v>
      </c>
      <c r="H466" s="737">
        <f>I466/10*4</f>
        <v>25118.799999999999</v>
      </c>
      <c r="I466" s="737">
        <v>62797</v>
      </c>
    </row>
    <row r="467" spans="1:9" s="848" customFormat="1" ht="66.75" customHeight="1">
      <c r="A467" s="1011" t="s">
        <v>298</v>
      </c>
      <c r="B467" s="1012"/>
      <c r="C467" s="1013"/>
      <c r="D467" s="708"/>
      <c r="E467" s="709"/>
      <c r="F467" s="710"/>
      <c r="G467" s="545">
        <f>SUM(G469:G479)</f>
        <v>1218000</v>
      </c>
      <c r="H467" s="545">
        <f>SUM(H469:H479)</f>
        <v>812000</v>
      </c>
      <c r="I467" s="545">
        <f>G467+H467</f>
        <v>2030000</v>
      </c>
    </row>
    <row r="468" spans="1:9" ht="66.75" customHeight="1">
      <c r="A468" s="1014" t="s">
        <v>2331</v>
      </c>
      <c r="B468" s="1015"/>
      <c r="C468" s="1016"/>
      <c r="D468" s="788" t="s">
        <v>2332</v>
      </c>
      <c r="E468" s="787">
        <v>8100</v>
      </c>
      <c r="F468" s="712">
        <v>169711</v>
      </c>
      <c r="G468" s="737">
        <f>I468/10*6</f>
        <v>180000</v>
      </c>
      <c r="H468" s="737">
        <f t="shared" ref="H468:H479" si="13">I468/10*4</f>
        <v>120000</v>
      </c>
      <c r="I468" s="737">
        <v>300000</v>
      </c>
    </row>
    <row r="469" spans="1:9" ht="66.75" customHeight="1">
      <c r="A469" s="1014" t="s">
        <v>25</v>
      </c>
      <c r="B469" s="1015"/>
      <c r="C469" s="1016"/>
      <c r="D469" s="795" t="s">
        <v>1150</v>
      </c>
      <c r="E469" s="711">
        <v>8100</v>
      </c>
      <c r="F469" s="712">
        <v>169711</v>
      </c>
      <c r="G469" s="737">
        <f t="shared" ref="G469:G479" si="14">I469/10*6</f>
        <v>432000</v>
      </c>
      <c r="H469" s="737">
        <f t="shared" si="13"/>
        <v>288000</v>
      </c>
      <c r="I469" s="737">
        <v>720000</v>
      </c>
    </row>
    <row r="470" spans="1:9" ht="66.75" customHeight="1">
      <c r="A470" s="1014" t="s">
        <v>300</v>
      </c>
      <c r="B470" s="1015"/>
      <c r="C470" s="1016"/>
      <c r="D470" s="795" t="s">
        <v>1152</v>
      </c>
      <c r="E470" s="711">
        <v>8100</v>
      </c>
      <c r="F470" s="712">
        <v>169711</v>
      </c>
      <c r="G470" s="737">
        <f t="shared" si="14"/>
        <v>186000</v>
      </c>
      <c r="H470" s="737">
        <f t="shared" si="13"/>
        <v>124000</v>
      </c>
      <c r="I470" s="737">
        <v>310000</v>
      </c>
    </row>
    <row r="471" spans="1:9" ht="66.75" customHeight="1">
      <c r="A471" s="1014" t="s">
        <v>301</v>
      </c>
      <c r="B471" s="1015"/>
      <c r="C471" s="1016"/>
      <c r="D471" s="795" t="s">
        <v>1153</v>
      </c>
      <c r="E471" s="711">
        <v>8100</v>
      </c>
      <c r="F471" s="712">
        <v>169711</v>
      </c>
      <c r="G471" s="737">
        <f t="shared" si="14"/>
        <v>6000</v>
      </c>
      <c r="H471" s="737">
        <f t="shared" si="13"/>
        <v>4000</v>
      </c>
      <c r="I471" s="737">
        <v>10000</v>
      </c>
    </row>
    <row r="472" spans="1:9" ht="66.75" customHeight="1">
      <c r="A472" s="1014" t="s">
        <v>320</v>
      </c>
      <c r="B472" s="1015"/>
      <c r="C472" s="1016"/>
      <c r="D472" s="795" t="s">
        <v>1154</v>
      </c>
      <c r="E472" s="711">
        <v>8100</v>
      </c>
      <c r="F472" s="712">
        <v>169711</v>
      </c>
      <c r="G472" s="737">
        <f t="shared" si="14"/>
        <v>51000</v>
      </c>
      <c r="H472" s="737">
        <f t="shared" si="13"/>
        <v>34000</v>
      </c>
      <c r="I472" s="737">
        <v>85000</v>
      </c>
    </row>
    <row r="473" spans="1:9" ht="66.75" customHeight="1">
      <c r="A473" s="1014" t="s">
        <v>538</v>
      </c>
      <c r="B473" s="1015"/>
      <c r="C473" s="1016"/>
      <c r="D473" s="795" t="s">
        <v>997</v>
      </c>
      <c r="E473" s="711">
        <v>8100</v>
      </c>
      <c r="F473" s="712">
        <v>169711</v>
      </c>
      <c r="G473" s="737">
        <f t="shared" si="14"/>
        <v>60000</v>
      </c>
      <c r="H473" s="737">
        <f t="shared" si="13"/>
        <v>40000</v>
      </c>
      <c r="I473" s="737">
        <v>100000</v>
      </c>
    </row>
    <row r="474" spans="1:9" ht="66.75" customHeight="1">
      <c r="A474" s="1014" t="s">
        <v>539</v>
      </c>
      <c r="B474" s="1015"/>
      <c r="C474" s="1016"/>
      <c r="D474" s="795" t="s">
        <v>998</v>
      </c>
      <c r="E474" s="711">
        <v>8100</v>
      </c>
      <c r="F474" s="712">
        <v>169711</v>
      </c>
      <c r="G474" s="737">
        <f t="shared" si="14"/>
        <v>30000</v>
      </c>
      <c r="H474" s="737">
        <f t="shared" si="13"/>
        <v>20000</v>
      </c>
      <c r="I474" s="737">
        <v>50000</v>
      </c>
    </row>
    <row r="475" spans="1:9" ht="66.75" customHeight="1">
      <c r="A475" s="1014" t="s">
        <v>540</v>
      </c>
      <c r="B475" s="1015"/>
      <c r="C475" s="1016"/>
      <c r="D475" s="795" t="s">
        <v>999</v>
      </c>
      <c r="E475" s="711">
        <v>8100</v>
      </c>
      <c r="F475" s="712">
        <v>169711</v>
      </c>
      <c r="G475" s="737">
        <f t="shared" si="14"/>
        <v>120000</v>
      </c>
      <c r="H475" s="737">
        <f t="shared" si="13"/>
        <v>80000</v>
      </c>
      <c r="I475" s="737">
        <v>200000</v>
      </c>
    </row>
    <row r="476" spans="1:9" ht="66.75" customHeight="1">
      <c r="A476" s="1014" t="s">
        <v>2330</v>
      </c>
      <c r="B476" s="1015"/>
      <c r="C476" s="1016"/>
      <c r="D476" s="795" t="s">
        <v>1386</v>
      </c>
      <c r="E476" s="711">
        <v>8100</v>
      </c>
      <c r="F476" s="712">
        <v>169711</v>
      </c>
      <c r="G476" s="737">
        <f>I476/10*6</f>
        <v>75000</v>
      </c>
      <c r="H476" s="737">
        <f>I476/10*4</f>
        <v>50000</v>
      </c>
      <c r="I476" s="737">
        <v>125000</v>
      </c>
    </row>
    <row r="477" spans="1:9" ht="66.75" customHeight="1">
      <c r="A477" s="1014" t="s">
        <v>1347</v>
      </c>
      <c r="B477" s="1015"/>
      <c r="C477" s="1016"/>
      <c r="D477" s="795" t="s">
        <v>1465</v>
      </c>
      <c r="E477" s="711">
        <v>8100</v>
      </c>
      <c r="F477" s="712">
        <v>169711</v>
      </c>
      <c r="G477" s="737">
        <f>I477/10*6</f>
        <v>21000</v>
      </c>
      <c r="H477" s="737">
        <f>I477/10*4</f>
        <v>14000</v>
      </c>
      <c r="I477" s="737">
        <v>35000</v>
      </c>
    </row>
    <row r="478" spans="1:9" ht="66.75" customHeight="1">
      <c r="A478" s="1014" t="s">
        <v>885</v>
      </c>
      <c r="B478" s="1015"/>
      <c r="C478" s="1016"/>
      <c r="D478" s="795" t="s">
        <v>1000</v>
      </c>
      <c r="E478" s="711">
        <v>8100</v>
      </c>
      <c r="F478" s="712">
        <v>169711</v>
      </c>
      <c r="G478" s="737">
        <f t="shared" si="14"/>
        <v>225000</v>
      </c>
      <c r="H478" s="737">
        <f t="shared" si="13"/>
        <v>150000</v>
      </c>
      <c r="I478" s="737">
        <v>375000</v>
      </c>
    </row>
    <row r="479" spans="1:9" ht="66.75" customHeight="1">
      <c r="A479" s="1014" t="s">
        <v>884</v>
      </c>
      <c r="B479" s="1015"/>
      <c r="C479" s="1016"/>
      <c r="D479" s="795" t="s">
        <v>1001</v>
      </c>
      <c r="E479" s="711">
        <v>8100</v>
      </c>
      <c r="F479" s="712">
        <v>169711</v>
      </c>
      <c r="G479" s="737">
        <f t="shared" si="14"/>
        <v>12000</v>
      </c>
      <c r="H479" s="737">
        <f t="shared" si="13"/>
        <v>8000</v>
      </c>
      <c r="I479" s="737">
        <v>20000</v>
      </c>
    </row>
    <row r="480" spans="1:9" s="848" customFormat="1" ht="66.75" customHeight="1">
      <c r="A480" s="1011" t="s">
        <v>278</v>
      </c>
      <c r="B480" s="1012"/>
      <c r="C480" s="1013"/>
      <c r="D480" s="708"/>
      <c r="E480" s="709"/>
      <c r="F480" s="710"/>
      <c r="G480" s="545">
        <f>SUM(G481:G481)</f>
        <v>12000</v>
      </c>
      <c r="H480" s="545">
        <f>SUM(H481:H481)</f>
        <v>8000</v>
      </c>
      <c r="I480" s="545">
        <f>G480+H480</f>
        <v>20000</v>
      </c>
    </row>
    <row r="481" spans="1:9" ht="66.75" customHeight="1">
      <c r="A481" s="1014" t="s">
        <v>1348</v>
      </c>
      <c r="B481" s="1015"/>
      <c r="C481" s="1016"/>
      <c r="D481" s="788" t="s">
        <v>2333</v>
      </c>
      <c r="E481" s="711">
        <v>8100</v>
      </c>
      <c r="F481" s="794" t="s">
        <v>2445</v>
      </c>
      <c r="G481" s="737">
        <f>I481/10*6</f>
        <v>12000</v>
      </c>
      <c r="H481" s="737">
        <f>I481/10*4</f>
        <v>8000</v>
      </c>
      <c r="I481" s="737">
        <v>20000</v>
      </c>
    </row>
    <row r="482" spans="1:9" s="848" customFormat="1" ht="66.75" customHeight="1">
      <c r="A482" s="1011" t="s">
        <v>447</v>
      </c>
      <c r="B482" s="1012"/>
      <c r="C482" s="1013"/>
      <c r="D482" s="708"/>
      <c r="E482" s="709"/>
      <c r="F482" s="710"/>
      <c r="G482" s="545">
        <f>SUM(G483:G488)</f>
        <v>351000</v>
      </c>
      <c r="H482" s="545">
        <f>SUM(H483:H488)</f>
        <v>234000</v>
      </c>
      <c r="I482" s="545">
        <f>G482+H482</f>
        <v>585000</v>
      </c>
    </row>
    <row r="483" spans="1:9" ht="66.75" customHeight="1">
      <c r="A483" s="1014" t="s">
        <v>392</v>
      </c>
      <c r="B483" s="1015"/>
      <c r="C483" s="1016"/>
      <c r="D483" s="795" t="s">
        <v>655</v>
      </c>
      <c r="E483" s="713" t="s">
        <v>1321</v>
      </c>
      <c r="F483" s="794" t="s">
        <v>2449</v>
      </c>
      <c r="G483" s="737">
        <f t="shared" ref="G483:G488" si="15">I483/10*6</f>
        <v>18000</v>
      </c>
      <c r="H483" s="737">
        <f t="shared" ref="H483:H488" si="16">I483/10*4</f>
        <v>12000</v>
      </c>
      <c r="I483" s="737">
        <v>30000</v>
      </c>
    </row>
    <row r="484" spans="1:9" ht="66.75" customHeight="1">
      <c r="A484" s="1014" t="s">
        <v>460</v>
      </c>
      <c r="B484" s="1015"/>
      <c r="C484" s="1016"/>
      <c r="D484" s="795" t="s">
        <v>1157</v>
      </c>
      <c r="E484" s="713" t="s">
        <v>1321</v>
      </c>
      <c r="F484" s="794" t="s">
        <v>2449</v>
      </c>
      <c r="G484" s="737">
        <f t="shared" si="15"/>
        <v>120000</v>
      </c>
      <c r="H484" s="737">
        <f t="shared" si="16"/>
        <v>80000</v>
      </c>
      <c r="I484" s="737">
        <v>200000</v>
      </c>
    </row>
    <row r="485" spans="1:9" ht="66.75" customHeight="1">
      <c r="A485" s="1014" t="s">
        <v>58</v>
      </c>
      <c r="B485" s="1015"/>
      <c r="C485" s="1016"/>
      <c r="D485" s="795" t="s">
        <v>1004</v>
      </c>
      <c r="E485" s="713" t="s">
        <v>1321</v>
      </c>
      <c r="F485" s="794" t="s">
        <v>2449</v>
      </c>
      <c r="G485" s="737">
        <f t="shared" si="15"/>
        <v>90000</v>
      </c>
      <c r="H485" s="737">
        <f t="shared" si="16"/>
        <v>60000</v>
      </c>
      <c r="I485" s="737">
        <v>150000</v>
      </c>
    </row>
    <row r="486" spans="1:9" ht="66.75" customHeight="1">
      <c r="A486" s="1014" t="s">
        <v>2427</v>
      </c>
      <c r="B486" s="1015"/>
      <c r="C486" s="1016"/>
      <c r="D486" s="795" t="s">
        <v>1162</v>
      </c>
      <c r="E486" s="713" t="s">
        <v>1321</v>
      </c>
      <c r="F486" s="794" t="s">
        <v>2449</v>
      </c>
      <c r="G486" s="737">
        <f t="shared" si="15"/>
        <v>15000</v>
      </c>
      <c r="H486" s="737">
        <f t="shared" si="16"/>
        <v>10000</v>
      </c>
      <c r="I486" s="737">
        <v>25000</v>
      </c>
    </row>
    <row r="487" spans="1:9" ht="66.75" customHeight="1">
      <c r="A487" s="1014" t="s">
        <v>393</v>
      </c>
      <c r="B487" s="1015"/>
      <c r="C487" s="1016"/>
      <c r="D487" s="795" t="s">
        <v>1005</v>
      </c>
      <c r="E487" s="713" t="s">
        <v>1321</v>
      </c>
      <c r="F487" s="794" t="s">
        <v>2449</v>
      </c>
      <c r="G487" s="737">
        <f t="shared" si="15"/>
        <v>18000</v>
      </c>
      <c r="H487" s="737">
        <f t="shared" si="16"/>
        <v>12000</v>
      </c>
      <c r="I487" s="737">
        <v>30000</v>
      </c>
    </row>
    <row r="488" spans="1:9" ht="66.75" customHeight="1">
      <c r="A488" s="1014" t="s">
        <v>2330</v>
      </c>
      <c r="B488" s="1015"/>
      <c r="C488" s="1016"/>
      <c r="D488" s="795" t="s">
        <v>1163</v>
      </c>
      <c r="E488" s="713" t="s">
        <v>1321</v>
      </c>
      <c r="F488" s="794" t="s">
        <v>2449</v>
      </c>
      <c r="G488" s="737">
        <f t="shared" si="15"/>
        <v>90000</v>
      </c>
      <c r="H488" s="737">
        <f t="shared" si="16"/>
        <v>60000</v>
      </c>
      <c r="I488" s="737">
        <v>150000</v>
      </c>
    </row>
    <row r="489" spans="1:9" s="848" customFormat="1" ht="66.75" customHeight="1">
      <c r="A489" s="1011" t="s">
        <v>723</v>
      </c>
      <c r="B489" s="1012"/>
      <c r="C489" s="1013"/>
      <c r="D489" s="708"/>
      <c r="E489" s="709"/>
      <c r="F489" s="710"/>
      <c r="G489" s="545">
        <f>SUM(G490:G494)</f>
        <v>1516080.6</v>
      </c>
      <c r="H489" s="545">
        <f>SUM(H490:H494)</f>
        <v>1010720.4</v>
      </c>
      <c r="I489" s="545">
        <f>G489+H489</f>
        <v>2526801</v>
      </c>
    </row>
    <row r="490" spans="1:9" ht="66.75" customHeight="1">
      <c r="A490" s="1014" t="s">
        <v>970</v>
      </c>
      <c r="B490" s="1015"/>
      <c r="C490" s="1016"/>
      <c r="D490" s="788" t="s">
        <v>2334</v>
      </c>
      <c r="E490" s="713" t="s">
        <v>1321</v>
      </c>
      <c r="F490" s="712">
        <v>169717</v>
      </c>
      <c r="G490" s="737">
        <f>I490/10*6</f>
        <v>120000</v>
      </c>
      <c r="H490" s="737">
        <f>I490/10*4</f>
        <v>80000</v>
      </c>
      <c r="I490" s="737">
        <v>200000</v>
      </c>
    </row>
    <row r="491" spans="1:9" ht="66.75" customHeight="1">
      <c r="A491" s="1014" t="s">
        <v>961</v>
      </c>
      <c r="B491" s="1015"/>
      <c r="C491" s="1016"/>
      <c r="D491" s="788" t="s">
        <v>2335</v>
      </c>
      <c r="E491" s="713" t="s">
        <v>1321</v>
      </c>
      <c r="F491" s="712">
        <v>169717</v>
      </c>
      <c r="G491" s="737">
        <f>I491/10*6</f>
        <v>1175040</v>
      </c>
      <c r="H491" s="737">
        <f>I491/10*4</f>
        <v>783360</v>
      </c>
      <c r="I491" s="737">
        <v>1958400</v>
      </c>
    </row>
    <row r="492" spans="1:9" ht="66.75" customHeight="1">
      <c r="A492" s="1014" t="s">
        <v>477</v>
      </c>
      <c r="B492" s="1015"/>
      <c r="C492" s="1016"/>
      <c r="D492" s="788" t="s">
        <v>2336</v>
      </c>
      <c r="E492" s="713" t="s">
        <v>1321</v>
      </c>
      <c r="F492" s="712">
        <v>169717</v>
      </c>
      <c r="G492" s="737">
        <f>I492/10*6</f>
        <v>86400</v>
      </c>
      <c r="H492" s="737">
        <f>I492/10*4</f>
        <v>57600</v>
      </c>
      <c r="I492" s="737">
        <v>144000</v>
      </c>
    </row>
    <row r="493" spans="1:9" ht="66.75" customHeight="1">
      <c r="A493" s="1014" t="s">
        <v>333</v>
      </c>
      <c r="B493" s="1015"/>
      <c r="C493" s="1016"/>
      <c r="D493" s="788" t="s">
        <v>2337</v>
      </c>
      <c r="E493" s="713" t="s">
        <v>1321</v>
      </c>
      <c r="F493" s="712">
        <v>169717</v>
      </c>
      <c r="G493" s="737">
        <f>I493/10*6</f>
        <v>74640.600000000006</v>
      </c>
      <c r="H493" s="737">
        <f>I493/10*4</f>
        <v>49760.4</v>
      </c>
      <c r="I493" s="737">
        <v>124401</v>
      </c>
    </row>
    <row r="494" spans="1:9" ht="66.75" customHeight="1">
      <c r="A494" s="1014" t="s">
        <v>58</v>
      </c>
      <c r="B494" s="1015"/>
      <c r="C494" s="1016"/>
      <c r="D494" s="788" t="s">
        <v>2338</v>
      </c>
      <c r="E494" s="713" t="s">
        <v>1321</v>
      </c>
      <c r="F494" s="712">
        <v>169717</v>
      </c>
      <c r="G494" s="737">
        <f>I494/10*6</f>
        <v>60000</v>
      </c>
      <c r="H494" s="737">
        <f>I494/10*4</f>
        <v>40000</v>
      </c>
      <c r="I494" s="737">
        <v>100000</v>
      </c>
    </row>
    <row r="495" spans="1:9" ht="38.25" customHeight="1">
      <c r="A495" s="686"/>
      <c r="B495" s="686"/>
      <c r="C495" s="687"/>
      <c r="D495" s="687"/>
      <c r="E495" s="687"/>
      <c r="F495" s="687"/>
      <c r="G495" s="686"/>
      <c r="H495" s="686"/>
      <c r="I495" s="686"/>
    </row>
    <row r="496" spans="1:9" ht="60" customHeight="1">
      <c r="A496" s="1017" t="s">
        <v>200</v>
      </c>
      <c r="B496" s="1018"/>
      <c r="C496" s="1018"/>
      <c r="D496" s="1018"/>
      <c r="E496" s="1018"/>
      <c r="F496" s="1019"/>
      <c r="G496" s="688">
        <f>G465+G480+G489+G482+G467</f>
        <v>3134758.8</v>
      </c>
      <c r="H496" s="688">
        <f>H465+H480+H489+H482+H467</f>
        <v>2089839.2000000002</v>
      </c>
      <c r="I496" s="688">
        <f>G496+H496</f>
        <v>5224598</v>
      </c>
    </row>
    <row r="497" spans="1:9" ht="60" customHeight="1">
      <c r="A497" s="1041" t="s">
        <v>2455</v>
      </c>
      <c r="B497" s="1041"/>
      <c r="C497" s="1042"/>
      <c r="D497" s="1042"/>
      <c r="E497" s="1042"/>
      <c r="F497" s="1042"/>
      <c r="G497" s="1042"/>
      <c r="H497" s="1042"/>
      <c r="I497" s="1042"/>
    </row>
    <row r="498" spans="1:9" ht="45" customHeight="1">
      <c r="A498" s="749"/>
      <c r="B498" s="775"/>
      <c r="C498" s="749"/>
      <c r="D498" s="749"/>
      <c r="E498" s="749"/>
      <c r="F498" s="749"/>
      <c r="G498" s="66"/>
      <c r="H498" s="66"/>
      <c r="I498" s="66"/>
    </row>
    <row r="499" spans="1:9" ht="45">
      <c r="A499" s="979" t="s">
        <v>2493</v>
      </c>
      <c r="B499" s="979"/>
      <c r="C499" s="979"/>
      <c r="D499" s="979"/>
      <c r="E499" s="979"/>
      <c r="F499" s="979"/>
      <c r="G499" s="979"/>
      <c r="H499" s="979"/>
      <c r="I499" s="979"/>
    </row>
    <row r="500" spans="1:9" ht="45">
      <c r="A500" s="979" t="s">
        <v>52</v>
      </c>
      <c r="B500" s="979"/>
      <c r="C500" s="979"/>
      <c r="D500" s="979"/>
      <c r="E500" s="979"/>
      <c r="F500" s="979"/>
      <c r="G500" s="979"/>
      <c r="H500" s="979"/>
      <c r="I500" s="979"/>
    </row>
    <row r="501" spans="1:9" ht="45">
      <c r="A501" s="1040" t="s">
        <v>50</v>
      </c>
      <c r="B501" s="1040"/>
      <c r="C501" s="1040"/>
      <c r="D501" s="1040"/>
      <c r="E501" s="1040"/>
      <c r="F501" s="1040"/>
      <c r="G501" s="1040"/>
      <c r="H501" s="1040"/>
      <c r="I501" s="1040"/>
    </row>
    <row r="502" spans="1:9" ht="44.25">
      <c r="A502" s="736"/>
      <c r="B502" s="736"/>
      <c r="C502" s="736"/>
      <c r="D502" s="736"/>
      <c r="E502" s="736"/>
      <c r="F502" s="736"/>
      <c r="G502" s="838"/>
      <c r="H502" s="838"/>
      <c r="I502" s="838"/>
    </row>
    <row r="503" spans="1:9" ht="45">
      <c r="A503" s="979" t="s">
        <v>1489</v>
      </c>
      <c r="B503" s="979"/>
      <c r="C503" s="979"/>
      <c r="D503" s="979"/>
      <c r="E503" s="979"/>
      <c r="F503" s="979"/>
      <c r="G503" s="979"/>
      <c r="H503" s="979"/>
      <c r="I503" s="979"/>
    </row>
    <row r="504" spans="1:9" s="850" customFormat="1" ht="33">
      <c r="A504" s="65"/>
      <c r="B504" s="65"/>
      <c r="C504" s="65"/>
      <c r="D504" s="65"/>
      <c r="E504" s="65"/>
      <c r="F504" s="65"/>
      <c r="G504" s="68"/>
      <c r="H504" s="68"/>
      <c r="I504" s="68"/>
    </row>
    <row r="505" spans="1:9" ht="20.100000000000001" customHeight="1">
      <c r="A505" s="65"/>
      <c r="B505" s="65"/>
      <c r="C505" s="65"/>
      <c r="D505" s="65"/>
      <c r="E505" s="65"/>
      <c r="F505" s="65"/>
      <c r="G505" s="68"/>
      <c r="H505" s="68"/>
      <c r="I505" s="68"/>
    </row>
    <row r="506" spans="1:9" ht="20.100000000000001" customHeight="1">
      <c r="A506" s="979"/>
      <c r="B506" s="979"/>
      <c r="C506" s="979"/>
      <c r="D506" s="979"/>
      <c r="E506" s="979"/>
      <c r="F506" s="979"/>
      <c r="G506" s="979"/>
      <c r="H506" s="979"/>
      <c r="I506" s="979"/>
    </row>
    <row r="507" spans="1:9" ht="45.75" customHeight="1">
      <c r="A507" s="1029" t="s">
        <v>1374</v>
      </c>
      <c r="B507" s="1029"/>
      <c r="C507" s="1030"/>
      <c r="D507" s="1030"/>
      <c r="E507" s="1030"/>
      <c r="F507" s="1030"/>
      <c r="G507" s="1030"/>
      <c r="H507" s="1030"/>
      <c r="I507" s="1030"/>
    </row>
    <row r="508" spans="1:9" s="848" customFormat="1" ht="68.25" customHeight="1">
      <c r="A508" s="1031" t="s">
        <v>37</v>
      </c>
      <c r="B508" s="1032"/>
      <c r="C508" s="1033"/>
      <c r="D508" s="1037" t="s">
        <v>14</v>
      </c>
      <c r="E508" s="1037" t="s">
        <v>1515</v>
      </c>
      <c r="F508" s="1037" t="s">
        <v>16</v>
      </c>
      <c r="G508" s="1039" t="s">
        <v>1490</v>
      </c>
      <c r="H508" s="1039" t="s">
        <v>2454</v>
      </c>
      <c r="I508" s="1037" t="s">
        <v>200</v>
      </c>
    </row>
    <row r="509" spans="1:9" s="848" customFormat="1" ht="75.75" customHeight="1">
      <c r="A509" s="1034"/>
      <c r="B509" s="1035"/>
      <c r="C509" s="1036"/>
      <c r="D509" s="1038"/>
      <c r="E509" s="1038"/>
      <c r="F509" s="1038"/>
      <c r="G509" s="1039"/>
      <c r="H509" s="1039"/>
      <c r="I509" s="1038"/>
    </row>
    <row r="510" spans="1:9" s="848" customFormat="1" ht="66.75" customHeight="1">
      <c r="A510" s="1011" t="s">
        <v>273</v>
      </c>
      <c r="B510" s="1012"/>
      <c r="C510" s="1013"/>
      <c r="D510" s="708"/>
      <c r="E510" s="709"/>
      <c r="F510" s="710"/>
      <c r="G510" s="545">
        <f>SUM(G511:G512)</f>
        <v>165831.6</v>
      </c>
      <c r="H510" s="545">
        <f>SUM(H511:H512)</f>
        <v>110554.4</v>
      </c>
      <c r="I510" s="545">
        <f>G510+H510</f>
        <v>276386</v>
      </c>
    </row>
    <row r="511" spans="1:9" ht="66.75" customHeight="1">
      <c r="A511" s="1014" t="s">
        <v>233</v>
      </c>
      <c r="B511" s="1015"/>
      <c r="C511" s="1016"/>
      <c r="D511" s="795" t="s">
        <v>1003</v>
      </c>
      <c r="E511" s="711">
        <v>8100</v>
      </c>
      <c r="F511" s="712">
        <v>169711</v>
      </c>
      <c r="G511" s="737">
        <f>I511/10*6</f>
        <v>66231.600000000006</v>
      </c>
      <c r="H511" s="737">
        <f>I511/10*4</f>
        <v>44154.400000000001</v>
      </c>
      <c r="I511" s="737">
        <v>110386</v>
      </c>
    </row>
    <row r="512" spans="1:9" ht="68.25" customHeight="1">
      <c r="A512" s="1014" t="s">
        <v>536</v>
      </c>
      <c r="B512" s="1015"/>
      <c r="C512" s="1016"/>
      <c r="D512" s="795" t="s">
        <v>1277</v>
      </c>
      <c r="E512" s="711">
        <v>8100</v>
      </c>
      <c r="F512" s="712">
        <v>169711</v>
      </c>
      <c r="G512" s="737">
        <f>I512/10*6</f>
        <v>99600</v>
      </c>
      <c r="H512" s="737">
        <f>I512/10*4</f>
        <v>66400</v>
      </c>
      <c r="I512" s="737">
        <v>166000</v>
      </c>
    </row>
    <row r="513" spans="1:9" s="848" customFormat="1" ht="66.75" customHeight="1">
      <c r="A513" s="1011" t="s">
        <v>297</v>
      </c>
      <c r="B513" s="1012"/>
      <c r="C513" s="1013"/>
      <c r="D513" s="708"/>
      <c r="E513" s="709"/>
      <c r="F513" s="710"/>
      <c r="G513" s="545">
        <f>SUM(G514:G514)</f>
        <v>87000</v>
      </c>
      <c r="H513" s="545">
        <f>SUM(H514:H514)</f>
        <v>58000</v>
      </c>
      <c r="I513" s="545">
        <f>G513+H513</f>
        <v>145000</v>
      </c>
    </row>
    <row r="514" spans="1:9" ht="66.75" customHeight="1">
      <c r="A514" s="1014" t="s">
        <v>305</v>
      </c>
      <c r="B514" s="1015"/>
      <c r="C514" s="1016"/>
      <c r="D514" s="795" t="s">
        <v>1124</v>
      </c>
      <c r="E514" s="711">
        <v>8100</v>
      </c>
      <c r="F514" s="712">
        <v>169711</v>
      </c>
      <c r="G514" s="737">
        <f>I514/10*6</f>
        <v>87000</v>
      </c>
      <c r="H514" s="737">
        <f>I514/10*4</f>
        <v>58000</v>
      </c>
      <c r="I514" s="737">
        <v>145000</v>
      </c>
    </row>
    <row r="515" spans="1:9" s="848" customFormat="1" ht="66.75" customHeight="1">
      <c r="A515" s="1011" t="s">
        <v>278</v>
      </c>
      <c r="B515" s="1012"/>
      <c r="C515" s="1013"/>
      <c r="D515" s="708"/>
      <c r="E515" s="709"/>
      <c r="F515" s="710"/>
      <c r="G515" s="545">
        <f>SUM(G516:G516)</f>
        <v>15000</v>
      </c>
      <c r="H515" s="545">
        <f>SUM(H516:H516)</f>
        <v>10000</v>
      </c>
      <c r="I515" s="545">
        <f>G515+H515</f>
        <v>25000</v>
      </c>
    </row>
    <row r="516" spans="1:9" ht="66.75" customHeight="1">
      <c r="A516" s="1014" t="s">
        <v>1349</v>
      </c>
      <c r="B516" s="1015"/>
      <c r="C516" s="1016"/>
      <c r="D516" s="788" t="s">
        <v>2340</v>
      </c>
      <c r="E516" s="711">
        <v>8100</v>
      </c>
      <c r="F516" s="794" t="s">
        <v>2445</v>
      </c>
      <c r="G516" s="737">
        <f>I516/10*6</f>
        <v>15000</v>
      </c>
      <c r="H516" s="737">
        <f>I516/10*4</f>
        <v>10000</v>
      </c>
      <c r="I516" s="737">
        <v>25000</v>
      </c>
    </row>
    <row r="517" spans="1:9" s="848" customFormat="1" ht="66.75" customHeight="1">
      <c r="A517" s="1011" t="s">
        <v>880</v>
      </c>
      <c r="B517" s="1012"/>
      <c r="C517" s="1013"/>
      <c r="D517" s="708"/>
      <c r="E517" s="709"/>
      <c r="F517" s="710"/>
      <c r="G517" s="545">
        <f>SUM(G518:G519)</f>
        <v>35728</v>
      </c>
      <c r="H517" s="545">
        <f>SUM(H518:H519)</f>
        <v>23642</v>
      </c>
      <c r="I517" s="545">
        <f>G517+H517</f>
        <v>59370</v>
      </c>
    </row>
    <row r="518" spans="1:9" ht="66.75" customHeight="1">
      <c r="A518" s="1014" t="s">
        <v>817</v>
      </c>
      <c r="B518" s="1015"/>
      <c r="C518" s="1016"/>
      <c r="D518" s="795" t="s">
        <v>1125</v>
      </c>
      <c r="E518" s="711">
        <v>8100</v>
      </c>
      <c r="F518" s="794" t="s">
        <v>2448</v>
      </c>
      <c r="G518" s="737">
        <v>34351</v>
      </c>
      <c r="H518" s="737">
        <v>23642</v>
      </c>
      <c r="I518" s="737">
        <f>G518+H518</f>
        <v>57993</v>
      </c>
    </row>
    <row r="519" spans="1:9" ht="66.75" customHeight="1">
      <c r="A519" s="1004" t="s">
        <v>2505</v>
      </c>
      <c r="B519" s="1005"/>
      <c r="C519" s="1006"/>
      <c r="D519" s="810"/>
      <c r="E519" s="811"/>
      <c r="F519" s="812"/>
      <c r="G519" s="813">
        <v>1377</v>
      </c>
      <c r="H519" s="813"/>
      <c r="I519" s="813">
        <f>G519+H519</f>
        <v>1377</v>
      </c>
    </row>
    <row r="520" spans="1:9" ht="38.25" customHeight="1">
      <c r="A520" s="686"/>
      <c r="B520" s="686"/>
      <c r="C520" s="687"/>
      <c r="D520" s="687"/>
      <c r="E520" s="687"/>
      <c r="F520" s="687"/>
      <c r="G520" s="686"/>
      <c r="H520" s="686"/>
      <c r="I520" s="686"/>
    </row>
    <row r="521" spans="1:9" ht="60" customHeight="1">
      <c r="A521" s="1017" t="s">
        <v>200</v>
      </c>
      <c r="B521" s="1018"/>
      <c r="C521" s="1018"/>
      <c r="D521" s="1018"/>
      <c r="E521" s="1018"/>
      <c r="F521" s="1019"/>
      <c r="G521" s="688">
        <f>G510+G513+G515+G517</f>
        <v>303559.59999999998</v>
      </c>
      <c r="H521" s="688">
        <f>H510+H513+H515+H517</f>
        <v>202196.4</v>
      </c>
      <c r="I521" s="688">
        <f>G521+H521</f>
        <v>505756</v>
      </c>
    </row>
    <row r="522" spans="1:9" s="850" customFormat="1" ht="45.75" customHeight="1">
      <c r="A522" s="1041" t="s">
        <v>2455</v>
      </c>
      <c r="B522" s="1041"/>
      <c r="C522" s="1042"/>
      <c r="D522" s="1042"/>
      <c r="E522" s="1042"/>
      <c r="F522" s="1042"/>
      <c r="G522" s="1042"/>
      <c r="H522" s="1042"/>
      <c r="I522" s="1042"/>
    </row>
    <row r="523" spans="1:9" ht="42" customHeight="1">
      <c r="A523" s="1041" t="s">
        <v>2456</v>
      </c>
      <c r="B523" s="1041"/>
      <c r="C523" s="1042"/>
      <c r="D523" s="1042"/>
      <c r="E523" s="1042"/>
      <c r="F523" s="1042"/>
      <c r="G523" s="1042"/>
      <c r="H523" s="1042"/>
      <c r="I523" s="1042"/>
    </row>
    <row r="524" spans="1:9" ht="20.100000000000001" customHeight="1">
      <c r="A524" s="65"/>
      <c r="B524" s="65"/>
      <c r="C524" s="65"/>
      <c r="D524" s="65"/>
      <c r="E524" s="65"/>
      <c r="F524" s="65"/>
      <c r="G524" s="68"/>
      <c r="H524" s="68"/>
      <c r="I524" s="68"/>
    </row>
    <row r="525" spans="1:9" ht="20.100000000000001" customHeight="1">
      <c r="A525" s="979"/>
      <c r="B525" s="979"/>
      <c r="C525" s="979"/>
      <c r="D525" s="979"/>
      <c r="E525" s="979"/>
      <c r="F525" s="979"/>
      <c r="G525" s="979"/>
      <c r="H525" s="979"/>
      <c r="I525" s="979"/>
    </row>
    <row r="526" spans="1:9" ht="45">
      <c r="A526" s="979" t="s">
        <v>2493</v>
      </c>
      <c r="B526" s="979"/>
      <c r="C526" s="979"/>
      <c r="D526" s="979"/>
      <c r="E526" s="979"/>
      <c r="F526" s="979"/>
      <c r="G526" s="979"/>
      <c r="H526" s="979"/>
      <c r="I526" s="979"/>
    </row>
    <row r="527" spans="1:9" ht="45">
      <c r="A527" s="979" t="s">
        <v>52</v>
      </c>
      <c r="B527" s="979"/>
      <c r="C527" s="979"/>
      <c r="D527" s="979"/>
      <c r="E527" s="979"/>
      <c r="F527" s="979"/>
      <c r="G527" s="979"/>
      <c r="H527" s="979"/>
      <c r="I527" s="979"/>
    </row>
    <row r="528" spans="1:9" ht="45">
      <c r="A528" s="1040" t="s">
        <v>50</v>
      </c>
      <c r="B528" s="1040"/>
      <c r="C528" s="1040"/>
      <c r="D528" s="1040"/>
      <c r="E528" s="1040"/>
      <c r="F528" s="1040"/>
      <c r="G528" s="1040"/>
      <c r="H528" s="1040"/>
      <c r="I528" s="1040"/>
    </row>
    <row r="529" spans="1:9" ht="44.25">
      <c r="A529" s="736"/>
      <c r="B529" s="736"/>
      <c r="C529" s="736"/>
      <c r="D529" s="736"/>
      <c r="E529" s="736"/>
      <c r="F529" s="736"/>
      <c r="G529" s="838"/>
      <c r="H529" s="838"/>
      <c r="I529" s="838"/>
    </row>
    <row r="530" spans="1:9" ht="45">
      <c r="A530" s="979" t="s">
        <v>1489</v>
      </c>
      <c r="B530" s="979"/>
      <c r="C530" s="979"/>
      <c r="D530" s="979"/>
      <c r="E530" s="979"/>
      <c r="F530" s="979"/>
      <c r="G530" s="979"/>
      <c r="H530" s="979"/>
      <c r="I530" s="979"/>
    </row>
    <row r="531" spans="1:9" s="850" customFormat="1" ht="33">
      <c r="A531" s="65"/>
      <c r="B531" s="65"/>
      <c r="C531" s="65"/>
      <c r="D531" s="65"/>
      <c r="E531" s="65"/>
      <c r="F531" s="65"/>
      <c r="G531" s="68"/>
      <c r="H531" s="68"/>
      <c r="I531" s="68"/>
    </row>
    <row r="532" spans="1:9" ht="20.100000000000001" customHeight="1">
      <c r="A532" s="65"/>
      <c r="B532" s="65"/>
      <c r="C532" s="65"/>
      <c r="D532" s="65"/>
      <c r="E532" s="65"/>
      <c r="F532" s="65"/>
      <c r="G532" s="68"/>
      <c r="H532" s="68"/>
      <c r="I532" s="68"/>
    </row>
    <row r="533" spans="1:9" ht="20.100000000000001" customHeight="1">
      <c r="A533" s="979"/>
      <c r="B533" s="979"/>
      <c r="C533" s="979"/>
      <c r="D533" s="979"/>
      <c r="E533" s="979"/>
      <c r="F533" s="979"/>
      <c r="G533" s="979"/>
      <c r="H533" s="979"/>
      <c r="I533" s="979"/>
    </row>
    <row r="534" spans="1:9" ht="45.75" customHeight="1">
      <c r="A534" s="1029" t="s">
        <v>1375</v>
      </c>
      <c r="B534" s="1029"/>
      <c r="C534" s="1030"/>
      <c r="D534" s="1030"/>
      <c r="E534" s="1030"/>
      <c r="F534" s="1030"/>
      <c r="G534" s="1030"/>
      <c r="H534" s="1030"/>
      <c r="I534" s="1030"/>
    </row>
    <row r="535" spans="1:9" s="848" customFormat="1" ht="68.25" customHeight="1">
      <c r="A535" s="1031" t="s">
        <v>37</v>
      </c>
      <c r="B535" s="1032"/>
      <c r="C535" s="1033"/>
      <c r="D535" s="1037" t="s">
        <v>14</v>
      </c>
      <c r="E535" s="1037" t="s">
        <v>1515</v>
      </c>
      <c r="F535" s="1037" t="s">
        <v>16</v>
      </c>
      <c r="G535" s="1039" t="s">
        <v>1490</v>
      </c>
      <c r="H535" s="1039" t="s">
        <v>2454</v>
      </c>
      <c r="I535" s="1037" t="s">
        <v>200</v>
      </c>
    </row>
    <row r="536" spans="1:9" s="848" customFormat="1" ht="75.75" customHeight="1">
      <c r="A536" s="1034"/>
      <c r="B536" s="1035"/>
      <c r="C536" s="1036"/>
      <c r="D536" s="1038"/>
      <c r="E536" s="1038"/>
      <c r="F536" s="1038"/>
      <c r="G536" s="1039"/>
      <c r="H536" s="1039"/>
      <c r="I536" s="1038"/>
    </row>
    <row r="537" spans="1:9" s="848" customFormat="1" ht="66.75" customHeight="1">
      <c r="A537" s="1011" t="s">
        <v>273</v>
      </c>
      <c r="B537" s="1012"/>
      <c r="C537" s="1013"/>
      <c r="D537" s="708"/>
      <c r="E537" s="709"/>
      <c r="F537" s="710"/>
      <c r="G537" s="545">
        <f>SUM(G538:G540)</f>
        <v>105000</v>
      </c>
      <c r="H537" s="545">
        <f>SUM(H538:H540)</f>
        <v>70000</v>
      </c>
      <c r="I537" s="545">
        <f>G537+H537</f>
        <v>175000</v>
      </c>
    </row>
    <row r="538" spans="1:9" ht="66.75" customHeight="1">
      <c r="A538" s="1014" t="s">
        <v>1546</v>
      </c>
      <c r="B538" s="1015"/>
      <c r="C538" s="1016"/>
      <c r="D538" s="791" t="s">
        <v>2354</v>
      </c>
      <c r="E538" s="793">
        <v>8100</v>
      </c>
      <c r="F538" s="712">
        <v>169711</v>
      </c>
      <c r="G538" s="737">
        <f>I538/10*6</f>
        <v>30000</v>
      </c>
      <c r="H538" s="737">
        <f>I538/10*4</f>
        <v>20000</v>
      </c>
      <c r="I538" s="737">
        <v>50000</v>
      </c>
    </row>
    <row r="539" spans="1:9" ht="68.25" customHeight="1">
      <c r="A539" s="1014" t="s">
        <v>2341</v>
      </c>
      <c r="B539" s="1015"/>
      <c r="C539" s="1016"/>
      <c r="D539" s="791" t="s">
        <v>2385</v>
      </c>
      <c r="E539" s="793">
        <v>8100</v>
      </c>
      <c r="F539" s="712">
        <v>169711</v>
      </c>
      <c r="G539" s="737">
        <f>I539/10*6</f>
        <v>39000</v>
      </c>
      <c r="H539" s="737">
        <f>I539/10*4</f>
        <v>26000</v>
      </c>
      <c r="I539" s="737">
        <v>65000</v>
      </c>
    </row>
    <row r="540" spans="1:9" ht="68.25" customHeight="1">
      <c r="A540" s="1014" t="s">
        <v>2342</v>
      </c>
      <c r="B540" s="1015"/>
      <c r="C540" s="1016"/>
      <c r="D540" s="791" t="s">
        <v>2355</v>
      </c>
      <c r="E540" s="793">
        <v>8100</v>
      </c>
      <c r="F540" s="712">
        <v>169711</v>
      </c>
      <c r="G540" s="737">
        <f>I540/10*6</f>
        <v>36000</v>
      </c>
      <c r="H540" s="737">
        <f>I540/10*4</f>
        <v>24000</v>
      </c>
      <c r="I540" s="737">
        <v>60000</v>
      </c>
    </row>
    <row r="541" spans="1:9" s="848" customFormat="1" ht="66.75" customHeight="1">
      <c r="A541" s="1011" t="s">
        <v>278</v>
      </c>
      <c r="B541" s="1012"/>
      <c r="C541" s="1013"/>
      <c r="D541" s="708"/>
      <c r="E541" s="709"/>
      <c r="F541" s="710"/>
      <c r="G541" s="545">
        <f>SUM(G542:G542)</f>
        <v>36000</v>
      </c>
      <c r="H541" s="545">
        <f>SUM(H542:H542)</f>
        <v>24000</v>
      </c>
      <c r="I541" s="545">
        <f>G541+H541</f>
        <v>60000</v>
      </c>
    </row>
    <row r="542" spans="1:9" ht="66.75" customHeight="1">
      <c r="A542" s="1014" t="s">
        <v>2343</v>
      </c>
      <c r="B542" s="1015"/>
      <c r="C542" s="1016"/>
      <c r="D542" s="791" t="s">
        <v>2356</v>
      </c>
      <c r="E542" s="793">
        <v>8100</v>
      </c>
      <c r="F542" s="794" t="s">
        <v>2445</v>
      </c>
      <c r="G542" s="737">
        <f>I542/10*6</f>
        <v>36000</v>
      </c>
      <c r="H542" s="737">
        <f>I542/10*4</f>
        <v>24000</v>
      </c>
      <c r="I542" s="737">
        <v>60000</v>
      </c>
    </row>
    <row r="543" spans="1:9" s="848" customFormat="1" ht="66.75" customHeight="1">
      <c r="A543" s="1011" t="s">
        <v>447</v>
      </c>
      <c r="B543" s="1012"/>
      <c r="C543" s="1013"/>
      <c r="D543" s="708"/>
      <c r="E543" s="709"/>
      <c r="F543" s="710"/>
      <c r="G543" s="545">
        <f>SUM(G544:G556)</f>
        <v>7304956</v>
      </c>
      <c r="H543" s="545">
        <f>SUM(H544:H556)</f>
        <v>4828264</v>
      </c>
      <c r="I543" s="545">
        <f>G543+H543</f>
        <v>12133220</v>
      </c>
    </row>
    <row r="544" spans="1:9" ht="66.75" customHeight="1">
      <c r="A544" s="1014" t="s">
        <v>916</v>
      </c>
      <c r="B544" s="1015"/>
      <c r="C544" s="1016"/>
      <c r="D544" s="795" t="s">
        <v>915</v>
      </c>
      <c r="E544" s="713" t="s">
        <v>1321</v>
      </c>
      <c r="F544" s="794" t="s">
        <v>2449</v>
      </c>
      <c r="G544" s="737">
        <f t="shared" ref="G544:G551" si="17">I544/10*6</f>
        <v>2400000</v>
      </c>
      <c r="H544" s="737">
        <f t="shared" ref="H544:H551" si="18">I544/10*4</f>
        <v>1600000</v>
      </c>
      <c r="I544" s="737">
        <v>4000000</v>
      </c>
    </row>
    <row r="545" spans="1:9" ht="66.75" customHeight="1">
      <c r="A545" s="1014" t="s">
        <v>958</v>
      </c>
      <c r="B545" s="1015"/>
      <c r="C545" s="1016"/>
      <c r="D545" s="795" t="s">
        <v>1046</v>
      </c>
      <c r="E545" s="713" t="s">
        <v>1321</v>
      </c>
      <c r="F545" s="794" t="s">
        <v>2449</v>
      </c>
      <c r="G545" s="737">
        <f t="shared" si="17"/>
        <v>330000</v>
      </c>
      <c r="H545" s="737">
        <f t="shared" si="18"/>
        <v>220000</v>
      </c>
      <c r="I545" s="737">
        <v>550000</v>
      </c>
    </row>
    <row r="546" spans="1:9" ht="66.75" customHeight="1">
      <c r="A546" s="1014" t="s">
        <v>322</v>
      </c>
      <c r="B546" s="1015"/>
      <c r="C546" s="1016"/>
      <c r="D546" s="795" t="s">
        <v>1159</v>
      </c>
      <c r="E546" s="713" t="s">
        <v>1321</v>
      </c>
      <c r="F546" s="794" t="s">
        <v>2449</v>
      </c>
      <c r="G546" s="737">
        <f t="shared" si="17"/>
        <v>30000</v>
      </c>
      <c r="H546" s="737">
        <f t="shared" si="18"/>
        <v>20000</v>
      </c>
      <c r="I546" s="737">
        <v>50000</v>
      </c>
    </row>
    <row r="547" spans="1:9" ht="66.75" customHeight="1">
      <c r="A547" s="1014" t="s">
        <v>962</v>
      </c>
      <c r="B547" s="1015"/>
      <c r="C547" s="1016"/>
      <c r="D547" s="795" t="s">
        <v>1047</v>
      </c>
      <c r="E547" s="713" t="s">
        <v>1321</v>
      </c>
      <c r="F547" s="794" t="s">
        <v>2449</v>
      </c>
      <c r="G547" s="737">
        <f t="shared" si="17"/>
        <v>360000</v>
      </c>
      <c r="H547" s="737">
        <f t="shared" si="18"/>
        <v>240000</v>
      </c>
      <c r="I547" s="737">
        <v>600000</v>
      </c>
    </row>
    <row r="548" spans="1:9" ht="66.75" customHeight="1">
      <c r="A548" s="1014" t="s">
        <v>379</v>
      </c>
      <c r="B548" s="1015"/>
      <c r="C548" s="1016"/>
      <c r="D548" s="795" t="s">
        <v>867</v>
      </c>
      <c r="E548" s="713" t="s">
        <v>1321</v>
      </c>
      <c r="F548" s="794" t="s">
        <v>2449</v>
      </c>
      <c r="G548" s="737">
        <f t="shared" si="17"/>
        <v>33762.600000000006</v>
      </c>
      <c r="H548" s="737">
        <f t="shared" si="18"/>
        <v>22508.400000000001</v>
      </c>
      <c r="I548" s="737">
        <v>56271</v>
      </c>
    </row>
    <row r="549" spans="1:9" ht="66.75" customHeight="1">
      <c r="A549" s="1014" t="s">
        <v>277</v>
      </c>
      <c r="B549" s="1015"/>
      <c r="C549" s="1016"/>
      <c r="D549" s="795" t="s">
        <v>976</v>
      </c>
      <c r="E549" s="713" t="s">
        <v>1321</v>
      </c>
      <c r="F549" s="794" t="s">
        <v>2449</v>
      </c>
      <c r="G549" s="737">
        <f t="shared" si="17"/>
        <v>100800</v>
      </c>
      <c r="H549" s="737">
        <f t="shared" si="18"/>
        <v>67200</v>
      </c>
      <c r="I549" s="737">
        <v>168000</v>
      </c>
    </row>
    <row r="550" spans="1:9" ht="66.75" customHeight="1">
      <c r="A550" s="1014" t="s">
        <v>383</v>
      </c>
      <c r="B550" s="1015"/>
      <c r="C550" s="1016"/>
      <c r="D550" s="795" t="s">
        <v>870</v>
      </c>
      <c r="E550" s="713" t="s">
        <v>1321</v>
      </c>
      <c r="F550" s="794" t="s">
        <v>2449</v>
      </c>
      <c r="G550" s="737">
        <f t="shared" si="17"/>
        <v>8417.4000000000015</v>
      </c>
      <c r="H550" s="737">
        <f t="shared" si="18"/>
        <v>5611.6</v>
      </c>
      <c r="I550" s="737">
        <v>14029</v>
      </c>
    </row>
    <row r="551" spans="1:9" ht="66.75" customHeight="1">
      <c r="A551" s="1014" t="s">
        <v>1070</v>
      </c>
      <c r="B551" s="1015"/>
      <c r="C551" s="1016"/>
      <c r="D551" s="795" t="s">
        <v>1158</v>
      </c>
      <c r="E551" s="713" t="s">
        <v>1321</v>
      </c>
      <c r="F551" s="794" t="s">
        <v>2449</v>
      </c>
      <c r="G551" s="737">
        <f t="shared" si="17"/>
        <v>541035</v>
      </c>
      <c r="H551" s="737">
        <f t="shared" si="18"/>
        <v>360690</v>
      </c>
      <c r="I551" s="737">
        <v>901725</v>
      </c>
    </row>
    <row r="552" spans="1:9" ht="66.75" customHeight="1">
      <c r="A552" s="1014" t="s">
        <v>911</v>
      </c>
      <c r="B552" s="1015"/>
      <c r="C552" s="1016"/>
      <c r="D552" s="795" t="s">
        <v>914</v>
      </c>
      <c r="E552" s="713" t="s">
        <v>1321</v>
      </c>
      <c r="F552" s="794" t="s">
        <v>2449</v>
      </c>
      <c r="G552" s="737">
        <f>3024892.8-388661.8</f>
        <v>2636231</v>
      </c>
      <c r="H552" s="737">
        <f>2016595.2-84341.2000000002</f>
        <v>1932253.9999999998</v>
      </c>
      <c r="I552" s="737">
        <f>G552+H552</f>
        <v>4568485</v>
      </c>
    </row>
    <row r="553" spans="1:9" ht="66.75" customHeight="1">
      <c r="A553" s="1014" t="s">
        <v>1350</v>
      </c>
      <c r="B553" s="1015"/>
      <c r="C553" s="1016"/>
      <c r="D553" s="795" t="s">
        <v>1466</v>
      </c>
      <c r="E553" s="792" t="s">
        <v>1321</v>
      </c>
      <c r="F553" s="794" t="s">
        <v>2449</v>
      </c>
      <c r="G553" s="737">
        <f>I553/10*6</f>
        <v>240000</v>
      </c>
      <c r="H553" s="737">
        <f>I553/10*4</f>
        <v>160000</v>
      </c>
      <c r="I553" s="737">
        <v>400000</v>
      </c>
    </row>
    <row r="554" spans="1:9" ht="66.75" customHeight="1">
      <c r="A554" s="1014" t="s">
        <v>2344</v>
      </c>
      <c r="B554" s="1015"/>
      <c r="C554" s="1016"/>
      <c r="D554" s="791" t="s">
        <v>2357</v>
      </c>
      <c r="E554" s="713" t="s">
        <v>1321</v>
      </c>
      <c r="F554" s="794" t="s">
        <v>2449</v>
      </c>
      <c r="G554" s="737">
        <f>I554/10*6</f>
        <v>300000</v>
      </c>
      <c r="H554" s="737">
        <f>I554/10*4</f>
        <v>200000</v>
      </c>
      <c r="I554" s="737">
        <v>500000</v>
      </c>
    </row>
    <row r="555" spans="1:9" ht="21.75" customHeight="1">
      <c r="A555" s="806"/>
      <c r="B555" s="807"/>
      <c r="C555" s="808"/>
      <c r="D555" s="801"/>
      <c r="E555" s="804"/>
      <c r="F555" s="804"/>
      <c r="G555" s="737"/>
      <c r="H555" s="737"/>
      <c r="I555" s="737"/>
    </row>
    <row r="556" spans="1:9" ht="66.75" customHeight="1">
      <c r="A556" s="1004" t="s">
        <v>2489</v>
      </c>
      <c r="B556" s="1005"/>
      <c r="C556" s="1006"/>
      <c r="D556" s="810"/>
      <c r="E556" s="812"/>
      <c r="F556" s="812"/>
      <c r="G556" s="813">
        <v>324710</v>
      </c>
      <c r="H556" s="813"/>
      <c r="I556" s="813">
        <f>G556+H556</f>
        <v>324710</v>
      </c>
    </row>
    <row r="557" spans="1:9" s="848" customFormat="1" ht="66.75" customHeight="1">
      <c r="A557" s="1011" t="s">
        <v>723</v>
      </c>
      <c r="B557" s="1012"/>
      <c r="C557" s="1013"/>
      <c r="D557" s="708"/>
      <c r="E557" s="709"/>
      <c r="F557" s="710"/>
      <c r="G557" s="545">
        <f>SUM(G558:G573)</f>
        <v>8308329.7999999998</v>
      </c>
      <c r="H557" s="545">
        <f>SUM(H558:H573)</f>
        <v>5491451.2000000002</v>
      </c>
      <c r="I557" s="545">
        <f>G557+H557</f>
        <v>13799781</v>
      </c>
    </row>
    <row r="558" spans="1:9" ht="66.75" customHeight="1">
      <c r="A558" s="1014" t="s">
        <v>2348</v>
      </c>
      <c r="B558" s="1015"/>
      <c r="C558" s="1016"/>
      <c r="D558" s="791" t="s">
        <v>2358</v>
      </c>
      <c r="E558" s="713" t="s">
        <v>1321</v>
      </c>
      <c r="F558" s="712">
        <v>169717</v>
      </c>
      <c r="G558" s="737">
        <f>5119365-442047</f>
        <v>4677318</v>
      </c>
      <c r="H558" s="737">
        <f>3412910-95926</f>
        <v>3316984</v>
      </c>
      <c r="I558" s="737">
        <f>G558+H558</f>
        <v>7994302</v>
      </c>
    </row>
    <row r="559" spans="1:9" ht="66.75" customHeight="1">
      <c r="A559" s="1014" t="s">
        <v>2345</v>
      </c>
      <c r="B559" s="1015"/>
      <c r="C559" s="1016"/>
      <c r="D559" s="791" t="s">
        <v>2359</v>
      </c>
      <c r="E559" s="713" t="s">
        <v>1321</v>
      </c>
      <c r="F559" s="712">
        <v>169717</v>
      </c>
      <c r="G559" s="737">
        <f>I559/10*6</f>
        <v>120000</v>
      </c>
      <c r="H559" s="737">
        <f>I559/10*4</f>
        <v>80000</v>
      </c>
      <c r="I559" s="737">
        <v>200000</v>
      </c>
    </row>
    <row r="560" spans="1:9" ht="66.75" customHeight="1">
      <c r="A560" s="1014" t="s">
        <v>2346</v>
      </c>
      <c r="B560" s="1015"/>
      <c r="C560" s="1016"/>
      <c r="D560" s="791" t="s">
        <v>2360</v>
      </c>
      <c r="E560" s="713" t="s">
        <v>1321</v>
      </c>
      <c r="F560" s="712">
        <v>169717</v>
      </c>
      <c r="G560" s="737">
        <f>I560/10*6</f>
        <v>1008000</v>
      </c>
      <c r="H560" s="737">
        <f>I560/10*4</f>
        <v>672000</v>
      </c>
      <c r="I560" s="737">
        <v>1680000</v>
      </c>
    </row>
    <row r="561" spans="1:9" ht="66.75" customHeight="1">
      <c r="A561" s="1014" t="s">
        <v>2347</v>
      </c>
      <c r="B561" s="1015"/>
      <c r="C561" s="1016"/>
      <c r="D561" s="791" t="s">
        <v>2361</v>
      </c>
      <c r="E561" s="713" t="s">
        <v>1321</v>
      </c>
      <c r="F561" s="712">
        <v>169717</v>
      </c>
      <c r="G561" s="737">
        <f t="shared" ref="G561:G571" si="19">I561/10*6</f>
        <v>86400</v>
      </c>
      <c r="H561" s="737">
        <f t="shared" ref="H561:H571" si="20">I561/10*4</f>
        <v>57600</v>
      </c>
      <c r="I561" s="737">
        <v>144000</v>
      </c>
    </row>
    <row r="562" spans="1:9" ht="66.75" customHeight="1">
      <c r="A562" s="1014" t="s">
        <v>2349</v>
      </c>
      <c r="B562" s="1015"/>
      <c r="C562" s="1016"/>
      <c r="D562" s="791" t="s">
        <v>2362</v>
      </c>
      <c r="E562" s="713" t="s">
        <v>1321</v>
      </c>
      <c r="F562" s="712">
        <v>169717</v>
      </c>
      <c r="G562" s="737">
        <f t="shared" si="19"/>
        <v>216000</v>
      </c>
      <c r="H562" s="737">
        <f t="shared" si="20"/>
        <v>144000</v>
      </c>
      <c r="I562" s="737">
        <v>360000</v>
      </c>
    </row>
    <row r="563" spans="1:9" ht="66.75" customHeight="1">
      <c r="A563" s="1014" t="s">
        <v>2350</v>
      </c>
      <c r="B563" s="1015"/>
      <c r="C563" s="1016"/>
      <c r="D563" s="791" t="s">
        <v>2363</v>
      </c>
      <c r="E563" s="713" t="s">
        <v>1321</v>
      </c>
      <c r="F563" s="712">
        <v>169717</v>
      </c>
      <c r="G563" s="737">
        <f t="shared" si="19"/>
        <v>60000</v>
      </c>
      <c r="H563" s="737">
        <f t="shared" si="20"/>
        <v>40000</v>
      </c>
      <c r="I563" s="737">
        <v>100000</v>
      </c>
    </row>
    <row r="564" spans="1:9" ht="66.75" customHeight="1">
      <c r="A564" s="1014" t="s">
        <v>2351</v>
      </c>
      <c r="B564" s="1015"/>
      <c r="C564" s="1016"/>
      <c r="D564" s="791" t="s">
        <v>2364</v>
      </c>
      <c r="E564" s="713" t="s">
        <v>1321</v>
      </c>
      <c r="F564" s="712">
        <v>169717</v>
      </c>
      <c r="G564" s="737">
        <f>I564/10*6</f>
        <v>187200</v>
      </c>
      <c r="H564" s="737">
        <f>I564/10*4</f>
        <v>124800</v>
      </c>
      <c r="I564" s="737">
        <v>312000</v>
      </c>
    </row>
    <row r="565" spans="1:9" ht="66.75" customHeight="1">
      <c r="A565" s="1014" t="s">
        <v>965</v>
      </c>
      <c r="B565" s="1015"/>
      <c r="C565" s="1016"/>
      <c r="D565" s="791" t="s">
        <v>2365</v>
      </c>
      <c r="E565" s="713" t="s">
        <v>1321</v>
      </c>
      <c r="F565" s="712">
        <v>169717</v>
      </c>
      <c r="G565" s="737">
        <f>I565/10*6</f>
        <v>180000</v>
      </c>
      <c r="H565" s="737">
        <f>I565/10*4</f>
        <v>120000</v>
      </c>
      <c r="I565" s="737">
        <v>300000</v>
      </c>
    </row>
    <row r="566" spans="1:9" ht="66.75" customHeight="1">
      <c r="A566" s="1014" t="s">
        <v>966</v>
      </c>
      <c r="B566" s="1015"/>
      <c r="C566" s="1016"/>
      <c r="D566" s="791" t="s">
        <v>2366</v>
      </c>
      <c r="E566" s="713" t="s">
        <v>1321</v>
      </c>
      <c r="F566" s="712">
        <v>169717</v>
      </c>
      <c r="G566" s="737">
        <f>I566/10*6</f>
        <v>720000</v>
      </c>
      <c r="H566" s="737">
        <f>I566/10*4</f>
        <v>480000</v>
      </c>
      <c r="I566" s="737">
        <v>1200000</v>
      </c>
    </row>
    <row r="567" spans="1:9" ht="66.75" customHeight="1">
      <c r="A567" s="1014" t="s">
        <v>967</v>
      </c>
      <c r="B567" s="1015"/>
      <c r="C567" s="1016"/>
      <c r="D567" s="791" t="s">
        <v>2367</v>
      </c>
      <c r="E567" s="713" t="s">
        <v>1321</v>
      </c>
      <c r="F567" s="712">
        <v>169717</v>
      </c>
      <c r="G567" s="737">
        <f t="shared" si="19"/>
        <v>86400</v>
      </c>
      <c r="H567" s="737">
        <f t="shared" si="20"/>
        <v>57600</v>
      </c>
      <c r="I567" s="737">
        <v>144000</v>
      </c>
    </row>
    <row r="568" spans="1:9" ht="66.75" customHeight="1">
      <c r="A568" s="1014" t="s">
        <v>968</v>
      </c>
      <c r="B568" s="1015"/>
      <c r="C568" s="1016"/>
      <c r="D568" s="791" t="s">
        <v>2368</v>
      </c>
      <c r="E568" s="713" t="s">
        <v>1321</v>
      </c>
      <c r="F568" s="712">
        <v>169717</v>
      </c>
      <c r="G568" s="737">
        <f t="shared" si="19"/>
        <v>43200</v>
      </c>
      <c r="H568" s="737">
        <f t="shared" si="20"/>
        <v>28800</v>
      </c>
      <c r="I568" s="737">
        <v>72000</v>
      </c>
    </row>
    <row r="569" spans="1:9" ht="66.75" customHeight="1">
      <c r="A569" s="1014" t="s">
        <v>2525</v>
      </c>
      <c r="B569" s="1015"/>
      <c r="C569" s="1016"/>
      <c r="D569" s="791" t="s">
        <v>2369</v>
      </c>
      <c r="E569" s="713" t="s">
        <v>1321</v>
      </c>
      <c r="F569" s="712">
        <v>169717</v>
      </c>
      <c r="G569" s="737">
        <f t="shared" si="19"/>
        <v>165700.79999999999</v>
      </c>
      <c r="H569" s="737">
        <f t="shared" si="20"/>
        <v>110467.2</v>
      </c>
      <c r="I569" s="737">
        <v>276168</v>
      </c>
    </row>
    <row r="570" spans="1:9" ht="66.75" customHeight="1">
      <c r="A570" s="1014" t="s">
        <v>2352</v>
      </c>
      <c r="B570" s="1015"/>
      <c r="C570" s="1016"/>
      <c r="D570" s="791" t="s">
        <v>2370</v>
      </c>
      <c r="E570" s="792" t="s">
        <v>1321</v>
      </c>
      <c r="F570" s="712">
        <v>169717</v>
      </c>
      <c r="G570" s="737">
        <f>I570/10*6</f>
        <v>288000</v>
      </c>
      <c r="H570" s="737">
        <f>I570/10*4</f>
        <v>192000</v>
      </c>
      <c r="I570" s="737">
        <v>480000</v>
      </c>
    </row>
    <row r="571" spans="1:9" ht="66.75" customHeight="1">
      <c r="A571" s="1014" t="s">
        <v>2353</v>
      </c>
      <c r="B571" s="1015"/>
      <c r="C571" s="1016"/>
      <c r="D571" s="791" t="s">
        <v>2371</v>
      </c>
      <c r="E571" s="713" t="s">
        <v>1321</v>
      </c>
      <c r="F571" s="712">
        <v>169717</v>
      </c>
      <c r="G571" s="737">
        <f t="shared" si="19"/>
        <v>100800</v>
      </c>
      <c r="H571" s="737">
        <f t="shared" si="20"/>
        <v>67200</v>
      </c>
      <c r="I571" s="737">
        <v>168000</v>
      </c>
    </row>
    <row r="572" spans="1:9" ht="24" customHeight="1">
      <c r="A572" s="806"/>
      <c r="B572" s="807"/>
      <c r="C572" s="808"/>
      <c r="D572" s="801"/>
      <c r="E572" s="804"/>
      <c r="F572" s="712"/>
      <c r="G572" s="737"/>
      <c r="H572" s="737"/>
      <c r="I572" s="737"/>
    </row>
    <row r="573" spans="1:9" ht="66.75" customHeight="1">
      <c r="A573" s="1004" t="s">
        <v>2490</v>
      </c>
      <c r="B573" s="1005"/>
      <c r="C573" s="1006"/>
      <c r="D573" s="810"/>
      <c r="E573" s="812"/>
      <c r="F573" s="851"/>
      <c r="G573" s="813">
        <v>369311</v>
      </c>
      <c r="H573" s="813"/>
      <c r="I573" s="813">
        <f>G573+H573</f>
        <v>369311</v>
      </c>
    </row>
    <row r="574" spans="1:9" s="848" customFormat="1" ht="66.75" customHeight="1">
      <c r="A574" s="1011" t="s">
        <v>1322</v>
      </c>
      <c r="B574" s="1012"/>
      <c r="C574" s="1013"/>
      <c r="D574" s="708"/>
      <c r="E574" s="709"/>
      <c r="F574" s="710"/>
      <c r="G574" s="545">
        <f>G575+G576</f>
        <v>120120</v>
      </c>
      <c r="H574" s="545">
        <f>H575+H576</f>
        <v>79488</v>
      </c>
      <c r="I574" s="545">
        <f>G574+H574</f>
        <v>199608</v>
      </c>
    </row>
    <row r="575" spans="1:9" ht="66.75" customHeight="1">
      <c r="A575" s="1014" t="s">
        <v>963</v>
      </c>
      <c r="B575" s="1015"/>
      <c r="C575" s="1016"/>
      <c r="D575" s="795" t="s">
        <v>1488</v>
      </c>
      <c r="E575" s="711">
        <v>8100</v>
      </c>
      <c r="F575" s="712">
        <v>169710</v>
      </c>
      <c r="G575" s="737">
        <v>115490</v>
      </c>
      <c r="H575" s="737">
        <v>79488</v>
      </c>
      <c r="I575" s="737">
        <f>G575+H575</f>
        <v>194978</v>
      </c>
    </row>
    <row r="576" spans="1:9" ht="66.75" customHeight="1">
      <c r="A576" s="1004" t="s">
        <v>2491</v>
      </c>
      <c r="B576" s="1005"/>
      <c r="C576" s="1006"/>
      <c r="D576" s="810"/>
      <c r="E576" s="811"/>
      <c r="F576" s="851"/>
      <c r="G576" s="813">
        <v>4630</v>
      </c>
      <c r="H576" s="813"/>
      <c r="I576" s="813">
        <f>G576+H576</f>
        <v>4630</v>
      </c>
    </row>
    <row r="577" spans="1:9" ht="38.25" customHeight="1">
      <c r="A577" s="686"/>
      <c r="B577" s="686"/>
      <c r="C577" s="687"/>
      <c r="D577" s="687"/>
      <c r="E577" s="687"/>
      <c r="F577" s="687"/>
      <c r="G577" s="686"/>
      <c r="H577" s="686"/>
      <c r="I577" s="686"/>
    </row>
    <row r="578" spans="1:9" ht="60" customHeight="1">
      <c r="A578" s="1017" t="s">
        <v>200</v>
      </c>
      <c r="B578" s="1018"/>
      <c r="C578" s="1018"/>
      <c r="D578" s="1018"/>
      <c r="E578" s="1018"/>
      <c r="F578" s="1019"/>
      <c r="G578" s="688">
        <f>G543+G557+G574+G541+G537</f>
        <v>15874405.800000001</v>
      </c>
      <c r="H578" s="688">
        <f>H543+H557+H574+H541+H537</f>
        <v>10493203.199999999</v>
      </c>
      <c r="I578" s="688">
        <f>G578+H578</f>
        <v>26367609</v>
      </c>
    </row>
    <row r="579" spans="1:9" s="850" customFormat="1" ht="45.75" customHeight="1">
      <c r="A579" s="1041" t="s">
        <v>2455</v>
      </c>
      <c r="B579" s="1041"/>
      <c r="C579" s="1042"/>
      <c r="D579" s="1042"/>
      <c r="E579" s="1042"/>
      <c r="F579" s="1042"/>
      <c r="G579" s="1042"/>
      <c r="H579" s="1042"/>
      <c r="I579" s="1042"/>
    </row>
    <row r="580" spans="1:9" ht="42" customHeight="1">
      <c r="A580" s="1041" t="s">
        <v>2456</v>
      </c>
      <c r="B580" s="1041"/>
      <c r="C580" s="1042"/>
      <c r="D580" s="1042"/>
      <c r="E580" s="1042"/>
      <c r="F580" s="1042"/>
      <c r="G580" s="1042"/>
      <c r="H580" s="1042"/>
      <c r="I580" s="1042"/>
    </row>
    <row r="581" spans="1:9" ht="45">
      <c r="A581" s="979" t="s">
        <v>2493</v>
      </c>
      <c r="B581" s="979"/>
      <c r="C581" s="979"/>
      <c r="D581" s="979"/>
      <c r="E581" s="979"/>
      <c r="F581" s="979"/>
      <c r="G581" s="979"/>
      <c r="H581" s="979"/>
      <c r="I581" s="979"/>
    </row>
    <row r="582" spans="1:9" ht="45">
      <c r="A582" s="979" t="s">
        <v>52</v>
      </c>
      <c r="B582" s="979"/>
      <c r="C582" s="979"/>
      <c r="D582" s="979"/>
      <c r="E582" s="979"/>
      <c r="F582" s="979"/>
      <c r="G582" s="979"/>
      <c r="H582" s="979"/>
      <c r="I582" s="979"/>
    </row>
    <row r="583" spans="1:9" ht="45">
      <c r="A583" s="1040" t="s">
        <v>50</v>
      </c>
      <c r="B583" s="1040"/>
      <c r="C583" s="1040"/>
      <c r="D583" s="1040"/>
      <c r="E583" s="1040"/>
      <c r="F583" s="1040"/>
      <c r="G583" s="1040"/>
      <c r="H583" s="1040"/>
      <c r="I583" s="1040"/>
    </row>
    <row r="584" spans="1:9" ht="44.25">
      <c r="A584" s="736"/>
      <c r="B584" s="736"/>
      <c r="C584" s="736"/>
      <c r="D584" s="736"/>
      <c r="E584" s="736"/>
      <c r="F584" s="736"/>
      <c r="G584" s="838"/>
      <c r="H584" s="838"/>
      <c r="I584" s="838"/>
    </row>
    <row r="585" spans="1:9" ht="45">
      <c r="A585" s="979" t="s">
        <v>1489</v>
      </c>
      <c r="B585" s="979"/>
      <c r="C585" s="979"/>
      <c r="D585" s="979"/>
      <c r="E585" s="979"/>
      <c r="F585" s="979"/>
      <c r="G585" s="979"/>
      <c r="H585" s="979"/>
      <c r="I585" s="979"/>
    </row>
    <row r="586" spans="1:9" s="850" customFormat="1" ht="33">
      <c r="A586" s="65"/>
      <c r="B586" s="65"/>
      <c r="C586" s="65"/>
      <c r="D586" s="65"/>
      <c r="E586" s="65"/>
      <c r="F586" s="65"/>
      <c r="G586" s="68"/>
      <c r="H586" s="68"/>
      <c r="I586" s="68"/>
    </row>
    <row r="587" spans="1:9" ht="20.100000000000001" customHeight="1">
      <c r="A587" s="65"/>
      <c r="B587" s="65"/>
      <c r="C587" s="65"/>
      <c r="D587" s="65"/>
      <c r="E587" s="65"/>
      <c r="F587" s="65"/>
      <c r="G587" s="68"/>
      <c r="H587" s="68"/>
      <c r="I587" s="68"/>
    </row>
    <row r="588" spans="1:9" ht="20.100000000000001" customHeight="1">
      <c r="A588" s="979"/>
      <c r="B588" s="979"/>
      <c r="C588" s="979"/>
      <c r="D588" s="979"/>
      <c r="E588" s="979"/>
      <c r="F588" s="979"/>
      <c r="G588" s="979"/>
      <c r="H588" s="979"/>
      <c r="I588" s="979"/>
    </row>
    <row r="589" spans="1:9" ht="45.75" customHeight="1">
      <c r="A589" s="1029" t="s">
        <v>1376</v>
      </c>
      <c r="B589" s="1029"/>
      <c r="C589" s="1030"/>
      <c r="D589" s="1030"/>
      <c r="E589" s="1030"/>
      <c r="F589" s="1030"/>
      <c r="G589" s="1030"/>
      <c r="H589" s="1030"/>
      <c r="I589" s="1030"/>
    </row>
    <row r="590" spans="1:9" s="848" customFormat="1" ht="68.25" customHeight="1">
      <c r="A590" s="1031" t="s">
        <v>37</v>
      </c>
      <c r="B590" s="1032"/>
      <c r="C590" s="1033"/>
      <c r="D590" s="1037" t="s">
        <v>14</v>
      </c>
      <c r="E590" s="1037" t="s">
        <v>1515</v>
      </c>
      <c r="F590" s="1037" t="s">
        <v>16</v>
      </c>
      <c r="G590" s="1039" t="s">
        <v>1490</v>
      </c>
      <c r="H590" s="1039" t="s">
        <v>2454</v>
      </c>
      <c r="I590" s="1037" t="s">
        <v>200</v>
      </c>
    </row>
    <row r="591" spans="1:9" s="848" customFormat="1" ht="75.75" customHeight="1">
      <c r="A591" s="1034"/>
      <c r="B591" s="1035"/>
      <c r="C591" s="1036"/>
      <c r="D591" s="1038"/>
      <c r="E591" s="1038"/>
      <c r="F591" s="1038"/>
      <c r="G591" s="1039"/>
      <c r="H591" s="1039"/>
      <c r="I591" s="1038"/>
    </row>
    <row r="592" spans="1:9" s="848" customFormat="1" ht="66.75" customHeight="1">
      <c r="A592" s="1011" t="s">
        <v>273</v>
      </c>
      <c r="B592" s="1012"/>
      <c r="C592" s="1013"/>
      <c r="D592" s="708"/>
      <c r="E592" s="709"/>
      <c r="F592" s="710"/>
      <c r="G592" s="545">
        <f>SUM(G593:G599)</f>
        <v>43200</v>
      </c>
      <c r="H592" s="545">
        <f>SUM(H593:H599)</f>
        <v>28800</v>
      </c>
      <c r="I592" s="545">
        <f>G592+H592</f>
        <v>72000</v>
      </c>
    </row>
    <row r="593" spans="1:9" ht="68.25" customHeight="1">
      <c r="A593" s="1014" t="s">
        <v>398</v>
      </c>
      <c r="B593" s="1015"/>
      <c r="C593" s="1016"/>
      <c r="D593" s="795" t="s">
        <v>1006</v>
      </c>
      <c r="E593" s="711">
        <v>8100</v>
      </c>
      <c r="F593" s="712">
        <v>169711</v>
      </c>
      <c r="G593" s="737">
        <f t="shared" ref="G593:G599" si="21">I593/10*6</f>
        <v>3600</v>
      </c>
      <c r="H593" s="737">
        <f t="shared" ref="H593:H599" si="22">I593/10*4</f>
        <v>2400</v>
      </c>
      <c r="I593" s="737">
        <v>6000</v>
      </c>
    </row>
    <row r="594" spans="1:9" ht="66.75" customHeight="1">
      <c r="A594" s="1014" t="s">
        <v>399</v>
      </c>
      <c r="B594" s="1015"/>
      <c r="C594" s="1016"/>
      <c r="D594" s="795" t="s">
        <v>1007</v>
      </c>
      <c r="E594" s="711">
        <v>8100</v>
      </c>
      <c r="F594" s="712">
        <v>169711</v>
      </c>
      <c r="G594" s="737">
        <f t="shared" si="21"/>
        <v>4800</v>
      </c>
      <c r="H594" s="737">
        <f t="shared" si="22"/>
        <v>3200</v>
      </c>
      <c r="I594" s="737">
        <v>8000</v>
      </c>
    </row>
    <row r="595" spans="1:9" ht="68.25" customHeight="1">
      <c r="A595" s="1014" t="s">
        <v>400</v>
      </c>
      <c r="B595" s="1015"/>
      <c r="C595" s="1016"/>
      <c r="D595" s="795" t="s">
        <v>1008</v>
      </c>
      <c r="E595" s="711">
        <v>8100</v>
      </c>
      <c r="F595" s="712">
        <v>169711</v>
      </c>
      <c r="G595" s="737">
        <f t="shared" si="21"/>
        <v>9000</v>
      </c>
      <c r="H595" s="737">
        <f t="shared" si="22"/>
        <v>6000</v>
      </c>
      <c r="I595" s="737">
        <v>15000</v>
      </c>
    </row>
    <row r="596" spans="1:9" ht="68.25" customHeight="1">
      <c r="A596" s="1014" t="s">
        <v>401</v>
      </c>
      <c r="B596" s="1015"/>
      <c r="C596" s="1016"/>
      <c r="D596" s="795" t="s">
        <v>1009</v>
      </c>
      <c r="E596" s="711">
        <v>8100</v>
      </c>
      <c r="F596" s="712">
        <v>169711</v>
      </c>
      <c r="G596" s="737">
        <f t="shared" si="21"/>
        <v>4800</v>
      </c>
      <c r="H596" s="737">
        <f t="shared" si="22"/>
        <v>3200</v>
      </c>
      <c r="I596" s="737">
        <v>8000</v>
      </c>
    </row>
    <row r="597" spans="1:9" ht="66.75" customHeight="1">
      <c r="A597" s="1014" t="s">
        <v>446</v>
      </c>
      <c r="B597" s="1015"/>
      <c r="C597" s="1016"/>
      <c r="D597" s="795" t="s">
        <v>1010</v>
      </c>
      <c r="E597" s="711">
        <v>8100</v>
      </c>
      <c r="F597" s="712">
        <v>169711</v>
      </c>
      <c r="G597" s="737">
        <f t="shared" si="21"/>
        <v>4800</v>
      </c>
      <c r="H597" s="737">
        <f t="shared" si="22"/>
        <v>3200</v>
      </c>
      <c r="I597" s="737">
        <v>8000</v>
      </c>
    </row>
    <row r="598" spans="1:9" ht="68.25" customHeight="1">
      <c r="A598" s="1014" t="s">
        <v>811</v>
      </c>
      <c r="B598" s="1015"/>
      <c r="C598" s="1016"/>
      <c r="D598" s="795" t="s">
        <v>1160</v>
      </c>
      <c r="E598" s="711">
        <v>8100</v>
      </c>
      <c r="F598" s="712">
        <v>169711</v>
      </c>
      <c r="G598" s="737">
        <f t="shared" si="21"/>
        <v>12000</v>
      </c>
      <c r="H598" s="737">
        <f t="shared" si="22"/>
        <v>8000</v>
      </c>
      <c r="I598" s="737">
        <v>20000</v>
      </c>
    </row>
    <row r="599" spans="1:9" ht="66.75" customHeight="1">
      <c r="A599" s="1014" t="s">
        <v>812</v>
      </c>
      <c r="B599" s="1015"/>
      <c r="C599" s="1016"/>
      <c r="D599" s="795" t="s">
        <v>1161</v>
      </c>
      <c r="E599" s="711">
        <v>8100</v>
      </c>
      <c r="F599" s="712">
        <v>169711</v>
      </c>
      <c r="G599" s="737">
        <f t="shared" si="21"/>
        <v>4200</v>
      </c>
      <c r="H599" s="737">
        <f t="shared" si="22"/>
        <v>2800</v>
      </c>
      <c r="I599" s="737">
        <v>7000</v>
      </c>
    </row>
    <row r="600" spans="1:9" s="848" customFormat="1" ht="66.75" customHeight="1">
      <c r="A600" s="1011" t="s">
        <v>278</v>
      </c>
      <c r="B600" s="1012"/>
      <c r="C600" s="1013"/>
      <c r="D600" s="708"/>
      <c r="E600" s="709"/>
      <c r="F600" s="710"/>
      <c r="G600" s="545">
        <f>SUM(G601:G601)</f>
        <v>10800</v>
      </c>
      <c r="H600" s="545">
        <f>SUM(H601:H601)</f>
        <v>7200</v>
      </c>
      <c r="I600" s="545">
        <f>G600+H600</f>
        <v>18000</v>
      </c>
    </row>
    <row r="601" spans="1:9" ht="66.75" customHeight="1">
      <c r="A601" s="1014" t="s">
        <v>402</v>
      </c>
      <c r="B601" s="1015"/>
      <c r="C601" s="1016"/>
      <c r="D601" s="795" t="s">
        <v>2428</v>
      </c>
      <c r="E601" s="711">
        <v>8100</v>
      </c>
      <c r="F601" s="794" t="s">
        <v>2445</v>
      </c>
      <c r="G601" s="737">
        <f>I601/10*6</f>
        <v>10800</v>
      </c>
      <c r="H601" s="737">
        <f>I601/10*4</f>
        <v>7200</v>
      </c>
      <c r="I601" s="737">
        <v>18000</v>
      </c>
    </row>
    <row r="602" spans="1:9" ht="38.25" customHeight="1">
      <c r="A602" s="686"/>
      <c r="B602" s="686"/>
      <c r="C602" s="687"/>
      <c r="D602" s="687"/>
      <c r="E602" s="687"/>
      <c r="F602" s="687"/>
      <c r="G602" s="686"/>
      <c r="H602" s="686"/>
      <c r="I602" s="686"/>
    </row>
    <row r="603" spans="1:9" ht="60" customHeight="1">
      <c r="A603" s="1017" t="s">
        <v>200</v>
      </c>
      <c r="B603" s="1018"/>
      <c r="C603" s="1018"/>
      <c r="D603" s="1018"/>
      <c r="E603" s="1018"/>
      <c r="F603" s="1019"/>
      <c r="G603" s="688">
        <f>G592+G600</f>
        <v>54000</v>
      </c>
      <c r="H603" s="688">
        <f>H592+H600</f>
        <v>36000</v>
      </c>
      <c r="I603" s="688">
        <f>G603+H603</f>
        <v>90000</v>
      </c>
    </row>
    <row r="604" spans="1:9" s="850" customFormat="1" ht="45.75" customHeight="1">
      <c r="A604" s="1041" t="s">
        <v>2455</v>
      </c>
      <c r="B604" s="1041"/>
      <c r="C604" s="1042"/>
      <c r="D604" s="1042"/>
      <c r="E604" s="1042"/>
      <c r="F604" s="1042"/>
      <c r="G604" s="1042"/>
      <c r="H604" s="1042"/>
      <c r="I604" s="1042"/>
    </row>
    <row r="605" spans="1:9" ht="20.100000000000001" customHeight="1">
      <c r="A605" s="65"/>
      <c r="B605" s="65"/>
      <c r="C605" s="65"/>
      <c r="D605" s="65"/>
      <c r="E605" s="65"/>
      <c r="F605" s="65"/>
      <c r="G605" s="68"/>
      <c r="H605" s="68"/>
      <c r="I605" s="68"/>
    </row>
    <row r="606" spans="1:9" ht="20.100000000000001" customHeight="1">
      <c r="A606" s="979"/>
      <c r="B606" s="979"/>
      <c r="C606" s="979"/>
      <c r="D606" s="979"/>
      <c r="E606" s="979"/>
      <c r="F606" s="979"/>
      <c r="G606" s="979"/>
      <c r="H606" s="979"/>
      <c r="I606" s="979"/>
    </row>
    <row r="607" spans="1:9" ht="45.75" customHeight="1">
      <c r="A607" s="1029" t="s">
        <v>104</v>
      </c>
      <c r="B607" s="1029"/>
      <c r="C607" s="1030"/>
      <c r="D607" s="1030"/>
      <c r="E607" s="1030"/>
      <c r="F607" s="1030"/>
      <c r="G607" s="1030"/>
      <c r="H607" s="1030"/>
      <c r="I607" s="1030"/>
    </row>
    <row r="608" spans="1:9" s="848" customFormat="1" ht="68.25" customHeight="1">
      <c r="A608" s="1031" t="s">
        <v>37</v>
      </c>
      <c r="B608" s="1032"/>
      <c r="C608" s="1033"/>
      <c r="D608" s="1037" t="s">
        <v>14</v>
      </c>
      <c r="E608" s="1037" t="s">
        <v>1515</v>
      </c>
      <c r="F608" s="1037" t="s">
        <v>16</v>
      </c>
      <c r="G608" s="1039" t="s">
        <v>1490</v>
      </c>
      <c r="H608" s="1039" t="s">
        <v>2454</v>
      </c>
      <c r="I608" s="1037" t="s">
        <v>200</v>
      </c>
    </row>
    <row r="609" spans="1:9" s="848" customFormat="1" ht="75.75" customHeight="1">
      <c r="A609" s="1034"/>
      <c r="B609" s="1035"/>
      <c r="C609" s="1036"/>
      <c r="D609" s="1038"/>
      <c r="E609" s="1038"/>
      <c r="F609" s="1038"/>
      <c r="G609" s="1039"/>
      <c r="H609" s="1039"/>
      <c r="I609" s="1038"/>
    </row>
    <row r="610" spans="1:9" s="848" customFormat="1" ht="66.75" customHeight="1">
      <c r="A610" s="1011" t="s">
        <v>273</v>
      </c>
      <c r="B610" s="1012"/>
      <c r="C610" s="1013"/>
      <c r="D610" s="708"/>
      <c r="E610" s="709"/>
      <c r="F610" s="710"/>
      <c r="G610" s="545">
        <f>SUM(G611:G612)</f>
        <v>114000</v>
      </c>
      <c r="H610" s="545">
        <f>SUM(H611:H612)</f>
        <v>76000</v>
      </c>
      <c r="I610" s="545">
        <f>G610+H610</f>
        <v>190000</v>
      </c>
    </row>
    <row r="611" spans="1:9" ht="66.75" customHeight="1">
      <c r="A611" s="1020" t="s">
        <v>1352</v>
      </c>
      <c r="B611" s="1021"/>
      <c r="C611" s="1022"/>
      <c r="D611" s="795" t="s">
        <v>1351</v>
      </c>
      <c r="E611" s="711">
        <v>8100</v>
      </c>
      <c r="F611" s="712">
        <v>169711</v>
      </c>
      <c r="G611" s="737">
        <f>I611/10*6</f>
        <v>66000</v>
      </c>
      <c r="H611" s="737">
        <f>I611/10*4</f>
        <v>44000</v>
      </c>
      <c r="I611" s="737">
        <v>110000</v>
      </c>
    </row>
    <row r="612" spans="1:9" ht="68.25" customHeight="1">
      <c r="A612" s="1020" t="s">
        <v>1353</v>
      </c>
      <c r="B612" s="1021"/>
      <c r="C612" s="1022"/>
      <c r="D612" s="795" t="s">
        <v>1388</v>
      </c>
      <c r="E612" s="711">
        <v>8100</v>
      </c>
      <c r="F612" s="712">
        <v>169711</v>
      </c>
      <c r="G612" s="737">
        <f>I612/10*6</f>
        <v>48000</v>
      </c>
      <c r="H612" s="737">
        <f>I612/10*4</f>
        <v>32000</v>
      </c>
      <c r="I612" s="737">
        <v>80000</v>
      </c>
    </row>
    <row r="613" spans="1:9" s="848" customFormat="1" ht="66.75" customHeight="1">
      <c r="A613" s="1011" t="s">
        <v>278</v>
      </c>
      <c r="B613" s="1012"/>
      <c r="C613" s="1013"/>
      <c r="D613" s="708"/>
      <c r="E613" s="709"/>
      <c r="F613" s="710"/>
      <c r="G613" s="545">
        <f>SUM(G614:G614)</f>
        <v>18000</v>
      </c>
      <c r="H613" s="545">
        <f>SUM(H614:H614)</f>
        <v>12000</v>
      </c>
      <c r="I613" s="545">
        <f>G613+H613</f>
        <v>30000</v>
      </c>
    </row>
    <row r="614" spans="1:9" ht="66.75" customHeight="1">
      <c r="A614" s="1020" t="s">
        <v>1387</v>
      </c>
      <c r="B614" s="1021"/>
      <c r="C614" s="1022"/>
      <c r="D614" s="795" t="s">
        <v>2430</v>
      </c>
      <c r="E614" s="711">
        <v>8100</v>
      </c>
      <c r="F614" s="794" t="s">
        <v>2445</v>
      </c>
      <c r="G614" s="737">
        <f>I614/10*6</f>
        <v>18000</v>
      </c>
      <c r="H614" s="737">
        <f>I614/10*4</f>
        <v>12000</v>
      </c>
      <c r="I614" s="737">
        <v>30000</v>
      </c>
    </row>
    <row r="615" spans="1:9" ht="38.25" customHeight="1">
      <c r="A615" s="686"/>
      <c r="B615" s="686"/>
      <c r="C615" s="687"/>
      <c r="D615" s="687"/>
      <c r="E615" s="687"/>
      <c r="F615" s="687"/>
      <c r="G615" s="686"/>
      <c r="H615" s="686"/>
      <c r="I615" s="686"/>
    </row>
    <row r="616" spans="1:9" ht="60" customHeight="1">
      <c r="A616" s="1017" t="s">
        <v>200</v>
      </c>
      <c r="B616" s="1018"/>
      <c r="C616" s="1018"/>
      <c r="D616" s="1018"/>
      <c r="E616" s="1018"/>
      <c r="F616" s="1019"/>
      <c r="G616" s="688">
        <f>G610+G613</f>
        <v>132000</v>
      </c>
      <c r="H616" s="688">
        <f>H610+H613</f>
        <v>88000</v>
      </c>
      <c r="I616" s="688">
        <f>G616+H616</f>
        <v>220000</v>
      </c>
    </row>
    <row r="617" spans="1:9" s="850" customFormat="1" ht="45.75" customHeight="1">
      <c r="A617" s="1041" t="s">
        <v>2455</v>
      </c>
      <c r="B617" s="1041"/>
      <c r="C617" s="1042"/>
      <c r="D617" s="1042"/>
      <c r="E617" s="1042"/>
      <c r="F617" s="1042"/>
      <c r="G617" s="1042"/>
      <c r="H617" s="1042"/>
      <c r="I617" s="1042"/>
    </row>
    <row r="618" spans="1:9" ht="20.100000000000001" customHeight="1">
      <c r="A618" s="65"/>
      <c r="B618" s="65"/>
      <c r="C618" s="65"/>
      <c r="D618" s="65"/>
      <c r="E618" s="65"/>
      <c r="F618" s="65"/>
      <c r="G618" s="68"/>
      <c r="H618" s="68"/>
      <c r="I618" s="68"/>
    </row>
    <row r="619" spans="1:9" ht="20.100000000000001" customHeight="1">
      <c r="A619" s="979"/>
      <c r="B619" s="979"/>
      <c r="C619" s="979"/>
      <c r="D619" s="979"/>
      <c r="E619" s="979"/>
      <c r="F619" s="979"/>
      <c r="G619" s="979"/>
      <c r="H619" s="979"/>
      <c r="I619" s="979"/>
    </row>
    <row r="620" spans="1:9" ht="45.75" customHeight="1">
      <c r="A620" s="1029" t="s">
        <v>1377</v>
      </c>
      <c r="B620" s="1029"/>
      <c r="C620" s="1030"/>
      <c r="D620" s="1030"/>
      <c r="E620" s="1030"/>
      <c r="F620" s="1030"/>
      <c r="G620" s="1030"/>
      <c r="H620" s="1030"/>
      <c r="I620" s="1030"/>
    </row>
    <row r="621" spans="1:9" s="848" customFormat="1" ht="68.25" customHeight="1">
      <c r="A621" s="1031" t="s">
        <v>37</v>
      </c>
      <c r="B621" s="1032"/>
      <c r="C621" s="1033"/>
      <c r="D621" s="1037" t="s">
        <v>14</v>
      </c>
      <c r="E621" s="1037" t="s">
        <v>1515</v>
      </c>
      <c r="F621" s="1037" t="s">
        <v>16</v>
      </c>
      <c r="G621" s="1039" t="s">
        <v>1490</v>
      </c>
      <c r="H621" s="1039" t="s">
        <v>2454</v>
      </c>
      <c r="I621" s="1037" t="s">
        <v>200</v>
      </c>
    </row>
    <row r="622" spans="1:9" s="848" customFormat="1" ht="75.75" customHeight="1">
      <c r="A622" s="1034"/>
      <c r="B622" s="1035"/>
      <c r="C622" s="1036"/>
      <c r="D622" s="1038"/>
      <c r="E622" s="1038"/>
      <c r="F622" s="1038"/>
      <c r="G622" s="1039"/>
      <c r="H622" s="1039"/>
      <c r="I622" s="1038"/>
    </row>
    <row r="623" spans="1:9" s="848" customFormat="1" ht="66.75" customHeight="1">
      <c r="A623" s="1011" t="s">
        <v>273</v>
      </c>
      <c r="B623" s="1012"/>
      <c r="C623" s="1013"/>
      <c r="D623" s="708"/>
      <c r="E623" s="709"/>
      <c r="F623" s="710"/>
      <c r="G623" s="545">
        <f>G624</f>
        <v>39300</v>
      </c>
      <c r="H623" s="545">
        <f>H624</f>
        <v>26200</v>
      </c>
      <c r="I623" s="545">
        <f>G623+H623</f>
        <v>65500</v>
      </c>
    </row>
    <row r="624" spans="1:9" ht="66.75" customHeight="1">
      <c r="A624" s="1020" t="s">
        <v>406</v>
      </c>
      <c r="B624" s="1021"/>
      <c r="C624" s="1022"/>
      <c r="D624" s="795" t="s">
        <v>1014</v>
      </c>
      <c r="E624" s="711">
        <v>8100</v>
      </c>
      <c r="F624" s="712">
        <v>169711</v>
      </c>
      <c r="G624" s="737">
        <f>I624/10*6</f>
        <v>39300</v>
      </c>
      <c r="H624" s="737">
        <f>I624/10*4</f>
        <v>26200</v>
      </c>
      <c r="I624" s="737">
        <v>65500</v>
      </c>
    </row>
    <row r="625" spans="1:9" s="848" customFormat="1" ht="66.75" customHeight="1">
      <c r="A625" s="1011" t="s">
        <v>278</v>
      </c>
      <c r="B625" s="1012"/>
      <c r="C625" s="1013"/>
      <c r="D625" s="708"/>
      <c r="E625" s="709"/>
      <c r="F625" s="710"/>
      <c r="G625" s="545">
        <f>SUM(G626:G626)</f>
        <v>30000</v>
      </c>
      <c r="H625" s="545">
        <f>SUM(H626:H626)</f>
        <v>20000</v>
      </c>
      <c r="I625" s="545">
        <f>G625+H625</f>
        <v>50000</v>
      </c>
    </row>
    <row r="626" spans="1:9" ht="66.75" customHeight="1">
      <c r="A626" s="1020" t="s">
        <v>682</v>
      </c>
      <c r="B626" s="1021"/>
      <c r="C626" s="1022"/>
      <c r="D626" s="795" t="s">
        <v>2429</v>
      </c>
      <c r="E626" s="711">
        <v>8100</v>
      </c>
      <c r="F626" s="794" t="s">
        <v>2445</v>
      </c>
      <c r="G626" s="737">
        <f>I626/10*6</f>
        <v>30000</v>
      </c>
      <c r="H626" s="737">
        <f>I626/10*4</f>
        <v>20000</v>
      </c>
      <c r="I626" s="737">
        <v>50000</v>
      </c>
    </row>
    <row r="627" spans="1:9" s="848" customFormat="1" ht="66.75" customHeight="1">
      <c r="A627" s="1011" t="s">
        <v>312</v>
      </c>
      <c r="B627" s="1012"/>
      <c r="C627" s="1013"/>
      <c r="D627" s="708"/>
      <c r="E627" s="709"/>
      <c r="F627" s="710"/>
      <c r="G627" s="545">
        <f>SUM(G628:G631)</f>
        <v>497700</v>
      </c>
      <c r="H627" s="545">
        <f>SUM(H628:H631)</f>
        <v>331800</v>
      </c>
      <c r="I627" s="545">
        <f>G627+H627</f>
        <v>829500</v>
      </c>
    </row>
    <row r="628" spans="1:9" ht="66.75" customHeight="1">
      <c r="A628" s="1020" t="s">
        <v>521</v>
      </c>
      <c r="B628" s="1021"/>
      <c r="C628" s="1022"/>
      <c r="D628" s="795" t="s">
        <v>2431</v>
      </c>
      <c r="E628" s="711">
        <v>8100</v>
      </c>
      <c r="F628" s="712">
        <v>169711</v>
      </c>
      <c r="G628" s="737">
        <f>I628/10*6</f>
        <v>108000</v>
      </c>
      <c r="H628" s="737">
        <f>I628/10*4</f>
        <v>72000</v>
      </c>
      <c r="I628" s="737">
        <v>180000</v>
      </c>
    </row>
    <row r="629" spans="1:9" ht="66.75" customHeight="1">
      <c r="A629" s="1020" t="s">
        <v>308</v>
      </c>
      <c r="B629" s="1021"/>
      <c r="C629" s="1022"/>
      <c r="D629" s="795" t="s">
        <v>2432</v>
      </c>
      <c r="E629" s="711">
        <v>8100</v>
      </c>
      <c r="F629" s="712">
        <v>169711</v>
      </c>
      <c r="G629" s="737">
        <f>I629/10*6</f>
        <v>41700</v>
      </c>
      <c r="H629" s="737">
        <f>I629/10*4</f>
        <v>27800</v>
      </c>
      <c r="I629" s="737">
        <v>69500</v>
      </c>
    </row>
    <row r="630" spans="1:9" ht="66.75" customHeight="1">
      <c r="A630" s="1020" t="s">
        <v>40</v>
      </c>
      <c r="B630" s="1021"/>
      <c r="C630" s="1022"/>
      <c r="D630" s="795" t="s">
        <v>2433</v>
      </c>
      <c r="E630" s="711">
        <v>8100</v>
      </c>
      <c r="F630" s="712">
        <v>169711</v>
      </c>
      <c r="G630" s="737">
        <f>I630/10*6</f>
        <v>330000</v>
      </c>
      <c r="H630" s="737">
        <f>I630/10*4</f>
        <v>220000</v>
      </c>
      <c r="I630" s="737">
        <v>550000</v>
      </c>
    </row>
    <row r="631" spans="1:9" ht="66.75" customHeight="1">
      <c r="A631" s="1020" t="s">
        <v>405</v>
      </c>
      <c r="B631" s="1021"/>
      <c r="C631" s="1022"/>
      <c r="D631" s="795" t="s">
        <v>2434</v>
      </c>
      <c r="E631" s="711">
        <v>8100</v>
      </c>
      <c r="F631" s="712">
        <v>169711</v>
      </c>
      <c r="G631" s="737">
        <f>I631/10*6</f>
        <v>18000</v>
      </c>
      <c r="H631" s="737">
        <f>I631/10*4</f>
        <v>12000</v>
      </c>
      <c r="I631" s="737">
        <v>30000</v>
      </c>
    </row>
    <row r="632" spans="1:9" ht="38.25" customHeight="1">
      <c r="A632" s="686"/>
      <c r="B632" s="686"/>
      <c r="C632" s="687"/>
      <c r="D632" s="687"/>
      <c r="E632" s="687"/>
      <c r="F632" s="687"/>
      <c r="G632" s="686"/>
      <c r="H632" s="686"/>
      <c r="I632" s="686"/>
    </row>
    <row r="633" spans="1:9" ht="60" customHeight="1">
      <c r="A633" s="1017" t="s">
        <v>200</v>
      </c>
      <c r="B633" s="1018"/>
      <c r="C633" s="1018"/>
      <c r="D633" s="1018"/>
      <c r="E633" s="1018"/>
      <c r="F633" s="1019"/>
      <c r="G633" s="688">
        <f>G627+G625+G623</f>
        <v>567000</v>
      </c>
      <c r="H633" s="688">
        <f>H627+H625+H623</f>
        <v>378000</v>
      </c>
      <c r="I633" s="688">
        <f>G633+H633</f>
        <v>945000</v>
      </c>
    </row>
    <row r="634" spans="1:9" s="850" customFormat="1" ht="45.75" customHeight="1">
      <c r="A634" s="1041" t="s">
        <v>2455</v>
      </c>
      <c r="B634" s="1041"/>
      <c r="C634" s="1042"/>
      <c r="D634" s="1042"/>
      <c r="E634" s="1042"/>
      <c r="F634" s="1042"/>
      <c r="G634" s="1042"/>
      <c r="H634" s="1042"/>
      <c r="I634" s="1042"/>
    </row>
    <row r="635" spans="1:9" ht="45">
      <c r="A635" s="979" t="s">
        <v>2493</v>
      </c>
      <c r="B635" s="979"/>
      <c r="C635" s="979"/>
      <c r="D635" s="979"/>
      <c r="E635" s="979"/>
      <c r="F635" s="979"/>
      <c r="G635" s="979"/>
      <c r="H635" s="979"/>
      <c r="I635" s="979"/>
    </row>
    <row r="636" spans="1:9" ht="45">
      <c r="A636" s="979" t="s">
        <v>52</v>
      </c>
      <c r="B636" s="979"/>
      <c r="C636" s="979"/>
      <c r="D636" s="979"/>
      <c r="E636" s="979"/>
      <c r="F636" s="979"/>
      <c r="G636" s="979"/>
      <c r="H636" s="979"/>
      <c r="I636" s="979"/>
    </row>
    <row r="637" spans="1:9" ht="45">
      <c r="A637" s="1040" t="s">
        <v>50</v>
      </c>
      <c r="B637" s="1040"/>
      <c r="C637" s="1040"/>
      <c r="D637" s="1040"/>
      <c r="E637" s="1040"/>
      <c r="F637" s="1040"/>
      <c r="G637" s="1040"/>
      <c r="H637" s="1040"/>
      <c r="I637" s="1040"/>
    </row>
    <row r="638" spans="1:9" ht="44.25">
      <c r="A638" s="736"/>
      <c r="B638" s="736"/>
      <c r="C638" s="736"/>
      <c r="D638" s="736"/>
      <c r="E638" s="736"/>
      <c r="F638" s="736"/>
      <c r="G638" s="838"/>
      <c r="H638" s="838"/>
      <c r="I638" s="838"/>
    </row>
    <row r="639" spans="1:9" ht="45">
      <c r="A639" s="979" t="s">
        <v>1489</v>
      </c>
      <c r="B639" s="979"/>
      <c r="C639" s="979"/>
      <c r="D639" s="979"/>
      <c r="E639" s="979"/>
      <c r="F639" s="979"/>
      <c r="G639" s="979"/>
      <c r="H639" s="979"/>
      <c r="I639" s="979"/>
    </row>
    <row r="640" spans="1:9" s="850" customFormat="1" ht="33">
      <c r="A640" s="65"/>
      <c r="B640" s="65"/>
      <c r="C640" s="65"/>
      <c r="D640" s="65"/>
      <c r="E640" s="65"/>
      <c r="F640" s="65"/>
      <c r="G640" s="68"/>
      <c r="H640" s="68"/>
      <c r="I640" s="68"/>
    </row>
    <row r="641" spans="1:9" ht="20.100000000000001" customHeight="1">
      <c r="A641" s="65"/>
      <c r="B641" s="65"/>
      <c r="C641" s="65"/>
      <c r="D641" s="65"/>
      <c r="E641" s="65"/>
      <c r="F641" s="65"/>
      <c r="G641" s="68"/>
      <c r="H641" s="68"/>
      <c r="I641" s="68"/>
    </row>
    <row r="642" spans="1:9" ht="20.100000000000001" customHeight="1">
      <c r="A642" s="979"/>
      <c r="B642" s="979"/>
      <c r="C642" s="979"/>
      <c r="D642" s="979"/>
      <c r="E642" s="979"/>
      <c r="F642" s="979"/>
      <c r="G642" s="979"/>
      <c r="H642" s="979"/>
      <c r="I642" s="979"/>
    </row>
    <row r="643" spans="1:9" ht="45.75" customHeight="1">
      <c r="A643" s="1029" t="s">
        <v>1378</v>
      </c>
      <c r="B643" s="1029"/>
      <c r="C643" s="1030"/>
      <c r="D643" s="1030"/>
      <c r="E643" s="1030"/>
      <c r="F643" s="1030"/>
      <c r="G643" s="1030"/>
      <c r="H643" s="1030"/>
      <c r="I643" s="1030"/>
    </row>
    <row r="644" spans="1:9" s="848" customFormat="1" ht="68.25" customHeight="1">
      <c r="A644" s="1031" t="s">
        <v>37</v>
      </c>
      <c r="B644" s="1032"/>
      <c r="C644" s="1033"/>
      <c r="D644" s="1037" t="s">
        <v>14</v>
      </c>
      <c r="E644" s="1037" t="s">
        <v>1515</v>
      </c>
      <c r="F644" s="1037" t="s">
        <v>16</v>
      </c>
      <c r="G644" s="1039" t="s">
        <v>1490</v>
      </c>
      <c r="H644" s="1039" t="s">
        <v>2454</v>
      </c>
      <c r="I644" s="1037" t="s">
        <v>200</v>
      </c>
    </row>
    <row r="645" spans="1:9" s="848" customFormat="1" ht="75.75" customHeight="1">
      <c r="A645" s="1034"/>
      <c r="B645" s="1035"/>
      <c r="C645" s="1036"/>
      <c r="D645" s="1038"/>
      <c r="E645" s="1038"/>
      <c r="F645" s="1038"/>
      <c r="G645" s="1039"/>
      <c r="H645" s="1039"/>
      <c r="I645" s="1038"/>
    </row>
    <row r="646" spans="1:9" s="848" customFormat="1" ht="66.75" customHeight="1">
      <c r="A646" s="1011" t="s">
        <v>273</v>
      </c>
      <c r="B646" s="1012"/>
      <c r="C646" s="1013"/>
      <c r="D646" s="708"/>
      <c r="E646" s="709"/>
      <c r="F646" s="710"/>
      <c r="G646" s="545">
        <f>SUM(G647:G650)</f>
        <v>74743.799999999988</v>
      </c>
      <c r="H646" s="545">
        <f>SUM(H647:H650)</f>
        <v>49829.200000000004</v>
      </c>
      <c r="I646" s="545">
        <f>G646+H646</f>
        <v>124573</v>
      </c>
    </row>
    <row r="647" spans="1:9" ht="66.75" customHeight="1">
      <c r="A647" s="1020" t="s">
        <v>153</v>
      </c>
      <c r="B647" s="1021"/>
      <c r="C647" s="1022"/>
      <c r="D647" s="795" t="s">
        <v>1021</v>
      </c>
      <c r="E647" s="711">
        <v>8100</v>
      </c>
      <c r="F647" s="712">
        <v>169711</v>
      </c>
      <c r="G647" s="737">
        <f>I647/10*6</f>
        <v>6000</v>
      </c>
      <c r="H647" s="737">
        <f>I647/10*4</f>
        <v>4000</v>
      </c>
      <c r="I647" s="737">
        <v>10000</v>
      </c>
    </row>
    <row r="648" spans="1:9" ht="66.75" customHeight="1">
      <c r="A648" s="1014" t="s">
        <v>176</v>
      </c>
      <c r="B648" s="1015"/>
      <c r="C648" s="1016"/>
      <c r="D648" s="795" t="s">
        <v>2436</v>
      </c>
      <c r="E648" s="711">
        <v>8100</v>
      </c>
      <c r="F648" s="712">
        <v>169711</v>
      </c>
      <c r="G648" s="737">
        <f>I648/10*6</f>
        <v>37372.199999999997</v>
      </c>
      <c r="H648" s="737">
        <f>I648/10*4</f>
        <v>24914.799999999999</v>
      </c>
      <c r="I648" s="737">
        <v>62287</v>
      </c>
    </row>
    <row r="649" spans="1:9" ht="66.75" customHeight="1">
      <c r="A649" s="1014" t="s">
        <v>82</v>
      </c>
      <c r="B649" s="1015"/>
      <c r="C649" s="1016"/>
      <c r="D649" s="795" t="s">
        <v>2437</v>
      </c>
      <c r="E649" s="711">
        <v>8100</v>
      </c>
      <c r="F649" s="712">
        <v>169711</v>
      </c>
      <c r="G649" s="737">
        <f>I649/10*6</f>
        <v>9000</v>
      </c>
      <c r="H649" s="737">
        <f>I649/10*4</f>
        <v>6000</v>
      </c>
      <c r="I649" s="737">
        <v>15000</v>
      </c>
    </row>
    <row r="650" spans="1:9" ht="66.75" customHeight="1">
      <c r="A650" s="1014" t="s">
        <v>1356</v>
      </c>
      <c r="B650" s="1015"/>
      <c r="C650" s="1016"/>
      <c r="D650" s="795" t="s">
        <v>2438</v>
      </c>
      <c r="E650" s="711">
        <v>8100</v>
      </c>
      <c r="F650" s="712">
        <v>169711</v>
      </c>
      <c r="G650" s="737">
        <f>I650/10*6</f>
        <v>22371.599999999999</v>
      </c>
      <c r="H650" s="737">
        <f>I650/10*4</f>
        <v>14914.4</v>
      </c>
      <c r="I650" s="737">
        <v>37286</v>
      </c>
    </row>
    <row r="651" spans="1:9" s="848" customFormat="1" ht="66.75" customHeight="1">
      <c r="A651" s="1011" t="s">
        <v>278</v>
      </c>
      <c r="B651" s="1012"/>
      <c r="C651" s="1013"/>
      <c r="D651" s="708"/>
      <c r="E651" s="709"/>
      <c r="F651" s="710"/>
      <c r="G651" s="545">
        <f>SUM(G652:G652)</f>
        <v>12000</v>
      </c>
      <c r="H651" s="545">
        <f>SUM(H652:H652)</f>
        <v>8000</v>
      </c>
      <c r="I651" s="545">
        <f>G651+H651</f>
        <v>20000</v>
      </c>
    </row>
    <row r="652" spans="1:9" ht="66.75" customHeight="1">
      <c r="A652" s="1020" t="s">
        <v>2435</v>
      </c>
      <c r="B652" s="1021"/>
      <c r="C652" s="1022"/>
      <c r="D652" s="795" t="s">
        <v>2439</v>
      </c>
      <c r="E652" s="711">
        <v>8100</v>
      </c>
      <c r="F652" s="794" t="s">
        <v>2445</v>
      </c>
      <c r="G652" s="737">
        <f>I652/10*6</f>
        <v>12000</v>
      </c>
      <c r="H652" s="737">
        <f>I652/10*4</f>
        <v>8000</v>
      </c>
      <c r="I652" s="737">
        <v>20000</v>
      </c>
    </row>
    <row r="653" spans="1:9" ht="38.25" customHeight="1">
      <c r="A653" s="686"/>
      <c r="B653" s="686"/>
      <c r="C653" s="687"/>
      <c r="D653" s="687"/>
      <c r="E653" s="687"/>
      <c r="F653" s="687"/>
      <c r="G653" s="686"/>
      <c r="H653" s="686"/>
      <c r="I653" s="686"/>
    </row>
    <row r="654" spans="1:9" ht="60" customHeight="1">
      <c r="A654" s="1017" t="s">
        <v>200</v>
      </c>
      <c r="B654" s="1018"/>
      <c r="C654" s="1018"/>
      <c r="D654" s="1018"/>
      <c r="E654" s="1018"/>
      <c r="F654" s="1019"/>
      <c r="G654" s="688">
        <f>G651+G646</f>
        <v>86743.799999999988</v>
      </c>
      <c r="H654" s="688">
        <f>H651+H646</f>
        <v>57829.200000000004</v>
      </c>
      <c r="I654" s="688">
        <f>G654+H654</f>
        <v>144573</v>
      </c>
    </row>
    <row r="655" spans="1:9" s="850" customFormat="1" ht="45.75" customHeight="1">
      <c r="A655" s="1041" t="s">
        <v>2455</v>
      </c>
      <c r="B655" s="1041"/>
      <c r="C655" s="1042"/>
      <c r="D655" s="1042"/>
      <c r="E655" s="1042"/>
      <c r="F655" s="1042"/>
      <c r="G655" s="1042"/>
      <c r="H655" s="1042"/>
      <c r="I655" s="1042"/>
    </row>
    <row r="656" spans="1:9" ht="20.100000000000001" customHeight="1">
      <c r="A656" s="65"/>
      <c r="B656" s="65"/>
      <c r="C656" s="65"/>
      <c r="D656" s="65"/>
      <c r="E656" s="65"/>
      <c r="F656" s="65"/>
      <c r="G656" s="68"/>
      <c r="H656" s="68"/>
      <c r="I656" s="68"/>
    </row>
    <row r="657" spans="1:9" ht="20.100000000000001" customHeight="1">
      <c r="A657" s="979"/>
      <c r="B657" s="979"/>
      <c r="C657" s="979"/>
      <c r="D657" s="979"/>
      <c r="E657" s="979"/>
      <c r="F657" s="979"/>
      <c r="G657" s="979"/>
      <c r="H657" s="979"/>
      <c r="I657" s="979"/>
    </row>
    <row r="658" spans="1:9" ht="45.75" customHeight="1">
      <c r="A658" s="1029" t="s">
        <v>1379</v>
      </c>
      <c r="B658" s="1029"/>
      <c r="C658" s="1030"/>
      <c r="D658" s="1030"/>
      <c r="E658" s="1030"/>
      <c r="F658" s="1030"/>
      <c r="G658" s="1030"/>
      <c r="H658" s="1030"/>
      <c r="I658" s="1030"/>
    </row>
    <row r="659" spans="1:9" s="848" customFormat="1" ht="68.25" customHeight="1">
      <c r="A659" s="1031" t="s">
        <v>37</v>
      </c>
      <c r="B659" s="1032"/>
      <c r="C659" s="1033"/>
      <c r="D659" s="1037" t="s">
        <v>14</v>
      </c>
      <c r="E659" s="1037" t="s">
        <v>1515</v>
      </c>
      <c r="F659" s="1037" t="s">
        <v>16</v>
      </c>
      <c r="G659" s="1039" t="s">
        <v>1490</v>
      </c>
      <c r="H659" s="1039" t="s">
        <v>2454</v>
      </c>
      <c r="I659" s="1037" t="s">
        <v>200</v>
      </c>
    </row>
    <row r="660" spans="1:9" s="848" customFormat="1" ht="75.75" customHeight="1">
      <c r="A660" s="1034"/>
      <c r="B660" s="1035"/>
      <c r="C660" s="1036"/>
      <c r="D660" s="1038"/>
      <c r="E660" s="1038"/>
      <c r="F660" s="1038"/>
      <c r="G660" s="1039"/>
      <c r="H660" s="1039"/>
      <c r="I660" s="1038"/>
    </row>
    <row r="661" spans="1:9" s="848" customFormat="1" ht="66.75" customHeight="1">
      <c r="A661" s="1011" t="s">
        <v>273</v>
      </c>
      <c r="B661" s="1012"/>
      <c r="C661" s="1013"/>
      <c r="D661" s="708"/>
      <c r="E661" s="709"/>
      <c r="F661" s="710"/>
      <c r="G661" s="545">
        <f>SUM(G662:G665)</f>
        <v>225000</v>
      </c>
      <c r="H661" s="545">
        <f>SUM(H662:H665)</f>
        <v>150000</v>
      </c>
      <c r="I661" s="545">
        <f>G661+H661</f>
        <v>375000</v>
      </c>
    </row>
    <row r="662" spans="1:9" ht="66.75" customHeight="1">
      <c r="A662" s="1020" t="s">
        <v>309</v>
      </c>
      <c r="B662" s="1021"/>
      <c r="C662" s="1022"/>
      <c r="D662" s="795" t="s">
        <v>1170</v>
      </c>
      <c r="E662" s="711">
        <v>8100</v>
      </c>
      <c r="F662" s="712">
        <v>169711</v>
      </c>
      <c r="G662" s="737">
        <f>I662/10*6</f>
        <v>15000</v>
      </c>
      <c r="H662" s="737">
        <f>I662/10*4</f>
        <v>10000</v>
      </c>
      <c r="I662" s="737">
        <v>25000</v>
      </c>
    </row>
    <row r="663" spans="1:9" ht="66.75" customHeight="1">
      <c r="A663" s="1020" t="s">
        <v>1169</v>
      </c>
      <c r="B663" s="1021"/>
      <c r="C663" s="1022"/>
      <c r="D663" s="795" t="s">
        <v>1025</v>
      </c>
      <c r="E663" s="711">
        <v>8100</v>
      </c>
      <c r="F663" s="712">
        <v>169711</v>
      </c>
      <c r="G663" s="737">
        <f>I663/10*6</f>
        <v>90000</v>
      </c>
      <c r="H663" s="737">
        <f>I663/10*4</f>
        <v>60000</v>
      </c>
      <c r="I663" s="737">
        <v>150000</v>
      </c>
    </row>
    <row r="664" spans="1:9" ht="66.75" customHeight="1">
      <c r="A664" s="1020" t="s">
        <v>326</v>
      </c>
      <c r="B664" s="1021"/>
      <c r="C664" s="1022"/>
      <c r="D664" s="795" t="s">
        <v>1026</v>
      </c>
      <c r="E664" s="711">
        <v>8100</v>
      </c>
      <c r="F664" s="712">
        <v>169711</v>
      </c>
      <c r="G664" s="737">
        <f>I664/10*6</f>
        <v>66000</v>
      </c>
      <c r="H664" s="737">
        <f>I664/10*4</f>
        <v>44000</v>
      </c>
      <c r="I664" s="737">
        <v>110000</v>
      </c>
    </row>
    <row r="665" spans="1:9" ht="66.75" customHeight="1">
      <c r="A665" s="1020" t="s">
        <v>327</v>
      </c>
      <c r="B665" s="1021"/>
      <c r="C665" s="1022"/>
      <c r="D665" s="795" t="s">
        <v>1171</v>
      </c>
      <c r="E665" s="711">
        <v>8100</v>
      </c>
      <c r="F665" s="712">
        <v>169711</v>
      </c>
      <c r="G665" s="737">
        <f>I665/10*6</f>
        <v>54000</v>
      </c>
      <c r="H665" s="737">
        <f>I665/10*4</f>
        <v>36000</v>
      </c>
      <c r="I665" s="737">
        <v>90000</v>
      </c>
    </row>
    <row r="666" spans="1:9" ht="38.25" customHeight="1">
      <c r="A666" s="686"/>
      <c r="B666" s="686"/>
      <c r="C666" s="687"/>
      <c r="D666" s="687"/>
      <c r="E666" s="687"/>
      <c r="F666" s="687"/>
      <c r="G666" s="686"/>
      <c r="H666" s="686"/>
      <c r="I666" s="686"/>
    </row>
    <row r="667" spans="1:9" ht="60" customHeight="1">
      <c r="A667" s="1017" t="s">
        <v>200</v>
      </c>
      <c r="B667" s="1018"/>
      <c r="C667" s="1018"/>
      <c r="D667" s="1018"/>
      <c r="E667" s="1018"/>
      <c r="F667" s="1019"/>
      <c r="G667" s="688">
        <f>G661</f>
        <v>225000</v>
      </c>
      <c r="H667" s="688">
        <f>H661</f>
        <v>150000</v>
      </c>
      <c r="I667" s="688">
        <f>G667+H667</f>
        <v>375000</v>
      </c>
    </row>
    <row r="668" spans="1:9" ht="63" customHeight="1">
      <c r="A668" s="1041" t="s">
        <v>2455</v>
      </c>
      <c r="B668" s="1041"/>
      <c r="C668" s="1042"/>
      <c r="D668" s="1042"/>
      <c r="E668" s="1042"/>
      <c r="F668" s="1042"/>
      <c r="G668" s="1042"/>
      <c r="H668" s="1042"/>
      <c r="I668" s="1042"/>
    </row>
    <row r="669" spans="1:9" ht="45" customHeight="1">
      <c r="A669" s="75"/>
      <c r="B669" s="75"/>
      <c r="C669" s="65"/>
      <c r="D669" s="65"/>
      <c r="E669" s="65"/>
      <c r="F669" s="65"/>
      <c r="G669" s="83"/>
      <c r="H669" s="83"/>
      <c r="I669" s="83"/>
    </row>
    <row r="670" spans="1:9" ht="63.75" customHeight="1">
      <c r="A670" s="1053" t="s">
        <v>2487</v>
      </c>
      <c r="B670" s="1054"/>
      <c r="C670" s="1054"/>
      <c r="D670" s="1054"/>
      <c r="E670" s="1054"/>
      <c r="F670" s="1054"/>
      <c r="G670" s="730">
        <f>G667+G654+G633+G616+G603+G578+G521+G496+G452+G410+G383+G344+G310+G290+G266+G199+G190+G181+G172+G147</f>
        <v>97947139.799999997</v>
      </c>
      <c r="H670" s="730">
        <f>H667+H654+H633+H616+H603+H578+H521+H496+H452+H410+H383+H344+H310+H290+H266+H199+H190+H181+H172+H147</f>
        <v>60539220.200000003</v>
      </c>
      <c r="I670" s="730">
        <f>G670+H670</f>
        <v>158486360</v>
      </c>
    </row>
    <row r="671" spans="1:9" ht="60" customHeight="1"/>
    <row r="672" spans="1:9" ht="35.1" customHeight="1">
      <c r="G672" s="429"/>
      <c r="H672" s="429"/>
    </row>
    <row r="673" spans="5:8" ht="35.1" customHeight="1">
      <c r="E673" s="404"/>
      <c r="G673" s="430"/>
      <c r="H673" s="430"/>
    </row>
  </sheetData>
  <mergeCells count="671">
    <mergeCell ref="A634:I634"/>
    <mergeCell ref="A655:I655"/>
    <mergeCell ref="A668:I668"/>
    <mergeCell ref="A346:I346"/>
    <mergeCell ref="A523:I523"/>
    <mergeCell ref="A580:I580"/>
    <mergeCell ref="A350:I350"/>
    <mergeCell ref="A351:I351"/>
    <mergeCell ref="A352:I352"/>
    <mergeCell ref="A384:I384"/>
    <mergeCell ref="A413:I413"/>
    <mergeCell ref="A414:I414"/>
    <mergeCell ref="A415:I415"/>
    <mergeCell ref="A417:I417"/>
    <mergeCell ref="A411:I411"/>
    <mergeCell ref="A578:F578"/>
    <mergeCell ref="A564:C564"/>
    <mergeCell ref="A557:C557"/>
    <mergeCell ref="A547:C547"/>
    <mergeCell ref="A548:C548"/>
    <mergeCell ref="A549:C549"/>
    <mergeCell ref="G463:G464"/>
    <mergeCell ref="H463:H464"/>
    <mergeCell ref="A550:C550"/>
    <mergeCell ref="A345:I345"/>
    <mergeCell ref="A348:I348"/>
    <mergeCell ref="A349:I349"/>
    <mergeCell ref="A67:A68"/>
    <mergeCell ref="B67:D68"/>
    <mergeCell ref="E67:E68"/>
    <mergeCell ref="F67:F68"/>
    <mergeCell ref="G67:G68"/>
    <mergeCell ref="H67:H68"/>
    <mergeCell ref="I67:I68"/>
    <mergeCell ref="A268:I268"/>
    <mergeCell ref="A249:B249"/>
    <mergeCell ref="A230:B230"/>
    <mergeCell ref="A231:B231"/>
    <mergeCell ref="A232:B232"/>
    <mergeCell ref="A233:B233"/>
    <mergeCell ref="A234:B234"/>
    <mergeCell ref="A235:B235"/>
    <mergeCell ref="A242:B242"/>
    <mergeCell ref="A251:B251"/>
    <mergeCell ref="A252:B252"/>
    <mergeCell ref="A253:B253"/>
    <mergeCell ref="A254:B254"/>
    <mergeCell ref="A255:B255"/>
    <mergeCell ref="A220:B220"/>
    <mergeCell ref="A250:B250"/>
    <mergeCell ref="A239:B239"/>
    <mergeCell ref="A240:B240"/>
    <mergeCell ref="A243:B243"/>
    <mergeCell ref="A244:B244"/>
    <mergeCell ref="A225:B225"/>
    <mergeCell ref="A226:B226"/>
    <mergeCell ref="A227:B227"/>
    <mergeCell ref="A228:B228"/>
    <mergeCell ref="A229:B229"/>
    <mergeCell ref="A247:B247"/>
    <mergeCell ref="A248:B248"/>
    <mergeCell ref="A222:B222"/>
    <mergeCell ref="A223:B223"/>
    <mergeCell ref="A224:B224"/>
    <mergeCell ref="A236:B236"/>
    <mergeCell ref="A237:B237"/>
    <mergeCell ref="A238:B238"/>
    <mergeCell ref="A245:B245"/>
    <mergeCell ref="A246:B246"/>
    <mergeCell ref="A472:C472"/>
    <mergeCell ref="A473:C473"/>
    <mergeCell ref="A474:C474"/>
    <mergeCell ref="A479:C479"/>
    <mergeCell ref="A476:C476"/>
    <mergeCell ref="A480:C480"/>
    <mergeCell ref="A481:C481"/>
    <mergeCell ref="A482:C482"/>
    <mergeCell ref="A526:I526"/>
    <mergeCell ref="A522:I522"/>
    <mergeCell ref="A510:C510"/>
    <mergeCell ref="A511:C511"/>
    <mergeCell ref="A512:C512"/>
    <mergeCell ref="A513:C513"/>
    <mergeCell ref="A514:C514"/>
    <mergeCell ref="A516:C516"/>
    <mergeCell ref="A515:C515"/>
    <mergeCell ref="A499:I499"/>
    <mergeCell ref="D508:D509"/>
    <mergeCell ref="E508:E509"/>
    <mergeCell ref="A487:C487"/>
    <mergeCell ref="A488:C488"/>
    <mergeCell ref="A493:C493"/>
    <mergeCell ref="A489:C489"/>
    <mergeCell ref="B72:D72"/>
    <mergeCell ref="A221:B221"/>
    <mergeCell ref="B52:D52"/>
    <mergeCell ref="B29:D29"/>
    <mergeCell ref="B31:D31"/>
    <mergeCell ref="B32:D32"/>
    <mergeCell ref="B42:D42"/>
    <mergeCell ref="B35:D35"/>
    <mergeCell ref="B48:D48"/>
    <mergeCell ref="A209:I209"/>
    <mergeCell ref="A210:I210"/>
    <mergeCell ref="A62:I62"/>
    <mergeCell ref="A65:I65"/>
    <mergeCell ref="A66:I66"/>
    <mergeCell ref="A191:I191"/>
    <mergeCell ref="A182:I182"/>
    <mergeCell ref="A173:I173"/>
    <mergeCell ref="A200:I200"/>
    <mergeCell ref="B78:D78"/>
    <mergeCell ref="A178:C178"/>
    <mergeCell ref="A179:C179"/>
    <mergeCell ref="A58:I58"/>
    <mergeCell ref="A59:I59"/>
    <mergeCell ref="A60:I60"/>
    <mergeCell ref="B38:D38"/>
    <mergeCell ref="B39:D39"/>
    <mergeCell ref="B41:D41"/>
    <mergeCell ref="A167:C167"/>
    <mergeCell ref="A168:C168"/>
    <mergeCell ref="A172:F172"/>
    <mergeCell ref="G165:G166"/>
    <mergeCell ref="H165:H166"/>
    <mergeCell ref="A175:I175"/>
    <mergeCell ref="B40:D40"/>
    <mergeCell ref="A157:I157"/>
    <mergeCell ref="A158:I158"/>
    <mergeCell ref="A160:I160"/>
    <mergeCell ref="A164:I164"/>
    <mergeCell ref="A143:C143"/>
    <mergeCell ref="A147:F147"/>
    <mergeCell ref="A148:I148"/>
    <mergeCell ref="A149:I149"/>
    <mergeCell ref="A150:I150"/>
    <mergeCell ref="I165:I166"/>
    <mergeCell ref="E165:E166"/>
    <mergeCell ref="F165:F166"/>
    <mergeCell ref="A165:C166"/>
    <mergeCell ref="D165:D166"/>
    <mergeCell ref="I176:I177"/>
    <mergeCell ref="B79:D79"/>
    <mergeCell ref="B80:D80"/>
    <mergeCell ref="B81:D81"/>
    <mergeCell ref="B83:D83"/>
    <mergeCell ref="B84:D84"/>
    <mergeCell ref="B85:D85"/>
    <mergeCell ref="B86:D86"/>
    <mergeCell ref="B82:D82"/>
    <mergeCell ref="A176:C177"/>
    <mergeCell ref="D176:D177"/>
    <mergeCell ref="E176:E177"/>
    <mergeCell ref="F176:F177"/>
    <mergeCell ref="G176:G177"/>
    <mergeCell ref="H176:H177"/>
    <mergeCell ref="A137:C137"/>
    <mergeCell ref="A138:C138"/>
    <mergeCell ref="A139:C139"/>
    <mergeCell ref="A136:C136"/>
    <mergeCell ref="A142:C142"/>
    <mergeCell ref="A140:C140"/>
    <mergeCell ref="A141:C141"/>
    <mergeCell ref="A151:I151"/>
    <mergeCell ref="A156:I156"/>
    <mergeCell ref="A654:F654"/>
    <mergeCell ref="E659:E660"/>
    <mergeCell ref="F659:F660"/>
    <mergeCell ref="A651:C651"/>
    <mergeCell ref="A652:C652"/>
    <mergeCell ref="D659:D660"/>
    <mergeCell ref="B77:D77"/>
    <mergeCell ref="B44:D44"/>
    <mergeCell ref="B46:D46"/>
    <mergeCell ref="B51:D51"/>
    <mergeCell ref="B53:D53"/>
    <mergeCell ref="B54:D54"/>
    <mergeCell ref="B56:D56"/>
    <mergeCell ref="A501:I501"/>
    <mergeCell ref="F508:F509"/>
    <mergeCell ref="I508:I509"/>
    <mergeCell ref="G508:G509"/>
    <mergeCell ref="H508:H509"/>
    <mergeCell ref="A608:C609"/>
    <mergeCell ref="D608:D609"/>
    <mergeCell ref="A261:C261"/>
    <mergeCell ref="I608:I609"/>
    <mergeCell ref="A211:I211"/>
    <mergeCell ref="A213:I213"/>
    <mergeCell ref="C218:C219"/>
    <mergeCell ref="D218:D219"/>
    <mergeCell ref="A216:I216"/>
    <mergeCell ref="A217:I217"/>
    <mergeCell ref="E218:E219"/>
    <mergeCell ref="F218:F219"/>
    <mergeCell ref="I218:I219"/>
    <mergeCell ref="G218:G219"/>
    <mergeCell ref="H218:H219"/>
    <mergeCell ref="A218:B219"/>
    <mergeCell ref="C250:D250"/>
    <mergeCell ref="B10:D11"/>
    <mergeCell ref="B13:D13"/>
    <mergeCell ref="B16:D16"/>
    <mergeCell ref="B17:D17"/>
    <mergeCell ref="B18:D18"/>
    <mergeCell ref="B19:D19"/>
    <mergeCell ref="B43:D43"/>
    <mergeCell ref="B49:D49"/>
    <mergeCell ref="B55:D55"/>
    <mergeCell ref="B69:D69"/>
    <mergeCell ref="B76:D76"/>
    <mergeCell ref="B57:D57"/>
    <mergeCell ref="B70:D70"/>
    <mergeCell ref="B71:D71"/>
    <mergeCell ref="B73:D73"/>
    <mergeCell ref="B74:D74"/>
    <mergeCell ref="B75:D75"/>
    <mergeCell ref="B33:D33"/>
    <mergeCell ref="B28:D28"/>
    <mergeCell ref="B30:D30"/>
    <mergeCell ref="B37:D37"/>
    <mergeCell ref="B45:D45"/>
    <mergeCell ref="B50:D50"/>
    <mergeCell ref="A659:C660"/>
    <mergeCell ref="A624:C624"/>
    <mergeCell ref="A606:I606"/>
    <mergeCell ref="A607:I607"/>
    <mergeCell ref="G644:G645"/>
    <mergeCell ref="H644:H645"/>
    <mergeCell ref="G659:G660"/>
    <mergeCell ref="H659:H660"/>
    <mergeCell ref="A644:C645"/>
    <mergeCell ref="D644:D645"/>
    <mergeCell ref="A614:C614"/>
    <mergeCell ref="A613:C613"/>
    <mergeCell ref="A633:F633"/>
    <mergeCell ref="A630:C630"/>
    <mergeCell ref="E608:E609"/>
    <mergeCell ref="F608:F609"/>
    <mergeCell ref="A617:I617"/>
    <mergeCell ref="A616:F616"/>
    <mergeCell ref="A620:I620"/>
    <mergeCell ref="A619:I619"/>
    <mergeCell ref="A621:C622"/>
    <mergeCell ref="D621:D622"/>
    <mergeCell ref="E621:E622"/>
    <mergeCell ref="F621:F622"/>
    <mergeCell ref="A626:C626"/>
    <mergeCell ref="A627:C627"/>
    <mergeCell ref="A628:C628"/>
    <mergeCell ref="A629:C629"/>
    <mergeCell ref="A631:C631"/>
    <mergeCell ref="A625:C625"/>
    <mergeCell ref="A558:C558"/>
    <mergeCell ref="A567:C567"/>
    <mergeCell ref="A568:C568"/>
    <mergeCell ref="A569:C569"/>
    <mergeCell ref="A561:C561"/>
    <mergeCell ref="A562:C562"/>
    <mergeCell ref="A563:C563"/>
    <mergeCell ref="A559:C559"/>
    <mergeCell ref="A560:C560"/>
    <mergeCell ref="A574:C574"/>
    <mergeCell ref="A575:C575"/>
    <mergeCell ref="A566:C566"/>
    <mergeCell ref="A565:C565"/>
    <mergeCell ref="A579:I579"/>
    <mergeCell ref="A604:I604"/>
    <mergeCell ref="I621:I622"/>
    <mergeCell ref="A610:C610"/>
    <mergeCell ref="A623:C623"/>
    <mergeCell ref="A494:C494"/>
    <mergeCell ref="A496:F496"/>
    <mergeCell ref="A503:I503"/>
    <mergeCell ref="A506:I506"/>
    <mergeCell ref="A507:I507"/>
    <mergeCell ref="A497:I497"/>
    <mergeCell ref="A500:I500"/>
    <mergeCell ref="A571:C571"/>
    <mergeCell ref="A483:C483"/>
    <mergeCell ref="A492:C492"/>
    <mergeCell ref="A491:C491"/>
    <mergeCell ref="A490:C490"/>
    <mergeCell ref="A508:C509"/>
    <mergeCell ref="A484:C484"/>
    <mergeCell ref="A485:C485"/>
    <mergeCell ref="A486:C486"/>
    <mergeCell ref="A551:C551"/>
    <mergeCell ref="A552:C552"/>
    <mergeCell ref="A527:I527"/>
    <mergeCell ref="A528:I528"/>
    <mergeCell ref="A530:I530"/>
    <mergeCell ref="A533:I533"/>
    <mergeCell ref="A517:C517"/>
    <mergeCell ref="A518:C518"/>
    <mergeCell ref="A670:F670"/>
    <mergeCell ref="A658:I658"/>
    <mergeCell ref="A657:I657"/>
    <mergeCell ref="A642:I642"/>
    <mergeCell ref="A643:I643"/>
    <mergeCell ref="A635:I635"/>
    <mergeCell ref="A636:I636"/>
    <mergeCell ref="A637:I637"/>
    <mergeCell ref="A639:I639"/>
    <mergeCell ref="I644:I645"/>
    <mergeCell ref="A646:C646"/>
    <mergeCell ref="A647:C647"/>
    <mergeCell ref="A648:C648"/>
    <mergeCell ref="A649:C649"/>
    <mergeCell ref="A650:C650"/>
    <mergeCell ref="A663:C663"/>
    <mergeCell ref="A667:F667"/>
    <mergeCell ref="A664:C664"/>
    <mergeCell ref="A665:C665"/>
    <mergeCell ref="I659:I660"/>
    <mergeCell ref="E644:E645"/>
    <mergeCell ref="F644:F645"/>
    <mergeCell ref="A662:C662"/>
    <mergeCell ref="A661:C661"/>
    <mergeCell ref="G621:G622"/>
    <mergeCell ref="H621:H622"/>
    <mergeCell ref="A585:I585"/>
    <mergeCell ref="A588:I588"/>
    <mergeCell ref="A589:I589"/>
    <mergeCell ref="A592:C592"/>
    <mergeCell ref="A596:C596"/>
    <mergeCell ref="A597:C597"/>
    <mergeCell ref="A598:C598"/>
    <mergeCell ref="A599:C599"/>
    <mergeCell ref="A601:C601"/>
    <mergeCell ref="A603:F603"/>
    <mergeCell ref="A600:C600"/>
    <mergeCell ref="A593:C593"/>
    <mergeCell ref="A594:C594"/>
    <mergeCell ref="A595:C595"/>
    <mergeCell ref="A611:C611"/>
    <mergeCell ref="A612:C612"/>
    <mergeCell ref="G608:G609"/>
    <mergeCell ref="H608:H609"/>
    <mergeCell ref="A581:I581"/>
    <mergeCell ref="A582:I582"/>
    <mergeCell ref="A583:I583"/>
    <mergeCell ref="A590:C591"/>
    <mergeCell ref="D590:D591"/>
    <mergeCell ref="E590:E591"/>
    <mergeCell ref="F590:F591"/>
    <mergeCell ref="I590:I591"/>
    <mergeCell ref="G590:G591"/>
    <mergeCell ref="H590:H591"/>
    <mergeCell ref="A576:C576"/>
    <mergeCell ref="A519:C519"/>
    <mergeCell ref="A521:F521"/>
    <mergeCell ref="A535:C536"/>
    <mergeCell ref="D535:D536"/>
    <mergeCell ref="E535:E536"/>
    <mergeCell ref="F535:F536"/>
    <mergeCell ref="A543:C543"/>
    <mergeCell ref="A554:C554"/>
    <mergeCell ref="A544:C544"/>
    <mergeCell ref="A525:I525"/>
    <mergeCell ref="A534:I534"/>
    <mergeCell ref="I535:I536"/>
    <mergeCell ref="A537:C537"/>
    <mergeCell ref="A538:C538"/>
    <mergeCell ref="A540:C540"/>
    <mergeCell ref="A539:C539"/>
    <mergeCell ref="A541:C541"/>
    <mergeCell ref="A542:C542"/>
    <mergeCell ref="A553:C553"/>
    <mergeCell ref="A545:C545"/>
    <mergeCell ref="A546:C546"/>
    <mergeCell ref="G535:G536"/>
    <mergeCell ref="H535:H536"/>
    <mergeCell ref="A466:C466"/>
    <mergeCell ref="A467:C467"/>
    <mergeCell ref="A471:C471"/>
    <mergeCell ref="A475:C475"/>
    <mergeCell ref="A478:C478"/>
    <mergeCell ref="A446:C446"/>
    <mergeCell ref="A447:C447"/>
    <mergeCell ref="A452:F452"/>
    <mergeCell ref="A450:C450"/>
    <mergeCell ref="A454:I454"/>
    <mergeCell ref="A455:I455"/>
    <mergeCell ref="A456:I456"/>
    <mergeCell ref="A458:I458"/>
    <mergeCell ref="A461:I461"/>
    <mergeCell ref="A463:C464"/>
    <mergeCell ref="D463:D464"/>
    <mergeCell ref="E463:E464"/>
    <mergeCell ref="F463:F464"/>
    <mergeCell ref="I463:I464"/>
    <mergeCell ref="A469:C469"/>
    <mergeCell ref="A477:C477"/>
    <mergeCell ref="A470:C470"/>
    <mergeCell ref="A462:I462"/>
    <mergeCell ref="A468:C468"/>
    <mergeCell ref="A465:C465"/>
    <mergeCell ref="G422:G423"/>
    <mergeCell ref="H422:H423"/>
    <mergeCell ref="A449:C449"/>
    <mergeCell ref="A430:C430"/>
    <mergeCell ref="A431:C431"/>
    <mergeCell ref="A433:C433"/>
    <mergeCell ref="A448:C448"/>
    <mergeCell ref="A441:C441"/>
    <mergeCell ref="A442:C442"/>
    <mergeCell ref="A445:C445"/>
    <mergeCell ref="A443:C443"/>
    <mergeCell ref="A444:C444"/>
    <mergeCell ref="A428:C428"/>
    <mergeCell ref="A426:C426"/>
    <mergeCell ref="A429:C429"/>
    <mergeCell ref="A383:F383"/>
    <mergeCell ref="E395:E396"/>
    <mergeCell ref="A440:C440"/>
    <mergeCell ref="A422:C423"/>
    <mergeCell ref="D422:D423"/>
    <mergeCell ref="E422:E423"/>
    <mergeCell ref="F422:F423"/>
    <mergeCell ref="I422:I423"/>
    <mergeCell ref="A424:C424"/>
    <mergeCell ref="A425:C425"/>
    <mergeCell ref="A395:C396"/>
    <mergeCell ref="A420:I420"/>
    <mergeCell ref="A402:C402"/>
    <mergeCell ref="A407:C407"/>
    <mergeCell ref="A406:C406"/>
    <mergeCell ref="A405:C405"/>
    <mergeCell ref="A404:C404"/>
    <mergeCell ref="A403:C403"/>
    <mergeCell ref="A408:C408"/>
    <mergeCell ref="A410:F410"/>
    <mergeCell ref="F395:F396"/>
    <mergeCell ref="A421:I421"/>
    <mergeCell ref="A394:I394"/>
    <mergeCell ref="D395:D396"/>
    <mergeCell ref="A453:I453"/>
    <mergeCell ref="G395:G396"/>
    <mergeCell ref="H395:H396"/>
    <mergeCell ref="A314:I314"/>
    <mergeCell ref="A315:I315"/>
    <mergeCell ref="A317:I317"/>
    <mergeCell ref="A320:I320"/>
    <mergeCell ref="A321:I321"/>
    <mergeCell ref="A324:C324"/>
    <mergeCell ref="A325:C325"/>
    <mergeCell ref="A330:C330"/>
    <mergeCell ref="A316:I316"/>
    <mergeCell ref="A322:C323"/>
    <mergeCell ref="D322:D323"/>
    <mergeCell ref="E322:E323"/>
    <mergeCell ref="F322:F323"/>
    <mergeCell ref="I322:I323"/>
    <mergeCell ref="A329:C329"/>
    <mergeCell ref="A328:C328"/>
    <mergeCell ref="A327:C327"/>
    <mergeCell ref="A326:C326"/>
    <mergeCell ref="D327:D330"/>
    <mergeCell ref="E327:E330"/>
    <mergeCell ref="F327:F330"/>
    <mergeCell ref="H278:H279"/>
    <mergeCell ref="G322:G323"/>
    <mergeCell ref="H322:H323"/>
    <mergeCell ref="A297:C297"/>
    <mergeCell ref="A298:C298"/>
    <mergeCell ref="A302:C302"/>
    <mergeCell ref="A303:C303"/>
    <mergeCell ref="A304:C304"/>
    <mergeCell ref="A310:F310"/>
    <mergeCell ref="A311:I311"/>
    <mergeCell ref="A313:I313"/>
    <mergeCell ref="A301:C301"/>
    <mergeCell ref="A300:C300"/>
    <mergeCell ref="A299:C299"/>
    <mergeCell ref="A282:C282"/>
    <mergeCell ref="A283:C283"/>
    <mergeCell ref="A284:C284"/>
    <mergeCell ref="A294:I294"/>
    <mergeCell ref="A290:F290"/>
    <mergeCell ref="A291:I291"/>
    <mergeCell ref="A295:C296"/>
    <mergeCell ref="D295:D296"/>
    <mergeCell ref="E295:E296"/>
    <mergeCell ref="F295:F296"/>
    <mergeCell ref="A181:F181"/>
    <mergeCell ref="A193:I193"/>
    <mergeCell ref="A184:I184"/>
    <mergeCell ref="I185:I186"/>
    <mergeCell ref="A185:C186"/>
    <mergeCell ref="D185:D186"/>
    <mergeCell ref="E185:E186"/>
    <mergeCell ref="F185:F186"/>
    <mergeCell ref="A187:C187"/>
    <mergeCell ref="A188:C188"/>
    <mergeCell ref="A190:F190"/>
    <mergeCell ref="G185:G186"/>
    <mergeCell ref="H185:H186"/>
    <mergeCell ref="A256:C256"/>
    <mergeCell ref="A194:C195"/>
    <mergeCell ref="D194:D195"/>
    <mergeCell ref="E194:E195"/>
    <mergeCell ref="F194:F195"/>
    <mergeCell ref="I194:I195"/>
    <mergeCell ref="A196:C196"/>
    <mergeCell ref="A197:C197"/>
    <mergeCell ref="I126:I127"/>
    <mergeCell ref="A128:C128"/>
    <mergeCell ref="A129:C129"/>
    <mergeCell ref="A118:I118"/>
    <mergeCell ref="A120:I120"/>
    <mergeCell ref="A124:I124"/>
    <mergeCell ref="A125:I125"/>
    <mergeCell ref="D126:D127"/>
    <mergeCell ref="A126:C127"/>
    <mergeCell ref="E126:E127"/>
    <mergeCell ref="F126:F127"/>
    <mergeCell ref="G126:G127"/>
    <mergeCell ref="H126:H127"/>
    <mergeCell ref="A116:I116"/>
    <mergeCell ref="A117:I117"/>
    <mergeCell ref="B91:D91"/>
    <mergeCell ref="B93:D93"/>
    <mergeCell ref="B95:D95"/>
    <mergeCell ref="B98:D98"/>
    <mergeCell ref="B99:D99"/>
    <mergeCell ref="B101:D101"/>
    <mergeCell ref="B102:D102"/>
    <mergeCell ref="B108:D108"/>
    <mergeCell ref="B109:D109"/>
    <mergeCell ref="B111:D111"/>
    <mergeCell ref="B97:D97"/>
    <mergeCell ref="B100:D100"/>
    <mergeCell ref="B103:D103"/>
    <mergeCell ref="B107:D107"/>
    <mergeCell ref="B110:D110"/>
    <mergeCell ref="B104:D104"/>
    <mergeCell ref="B105:D105"/>
    <mergeCell ref="B106:D106"/>
    <mergeCell ref="B89:D89"/>
    <mergeCell ref="B90:D90"/>
    <mergeCell ref="A264:B264"/>
    <mergeCell ref="B25:D25"/>
    <mergeCell ref="B27:D27"/>
    <mergeCell ref="B12:D12"/>
    <mergeCell ref="B21:D21"/>
    <mergeCell ref="B24:D24"/>
    <mergeCell ref="B26:D26"/>
    <mergeCell ref="A1:I1"/>
    <mergeCell ref="A2:I2"/>
    <mergeCell ref="A3:I3"/>
    <mergeCell ref="A5:I5"/>
    <mergeCell ref="A8:I8"/>
    <mergeCell ref="A9:I9"/>
    <mergeCell ref="B22:D22"/>
    <mergeCell ref="B14:D14"/>
    <mergeCell ref="B23:D23"/>
    <mergeCell ref="G10:G11"/>
    <mergeCell ref="H10:H11"/>
    <mergeCell ref="I10:I11"/>
    <mergeCell ref="E10:E11"/>
    <mergeCell ref="F10:F11"/>
    <mergeCell ref="A10:A11"/>
    <mergeCell ref="B15:D15"/>
    <mergeCell ref="B88:D88"/>
    <mergeCell ref="A273:I273"/>
    <mergeCell ref="A276:I276"/>
    <mergeCell ref="A277:I277"/>
    <mergeCell ref="A278:C279"/>
    <mergeCell ref="D278:D279"/>
    <mergeCell ref="E278:E279"/>
    <mergeCell ref="F278:F279"/>
    <mergeCell ref="I278:I279"/>
    <mergeCell ref="A272:I272"/>
    <mergeCell ref="G278:G279"/>
    <mergeCell ref="A365:C365"/>
    <mergeCell ref="A400:C400"/>
    <mergeCell ref="A401:C401"/>
    <mergeCell ref="A366:C366"/>
    <mergeCell ref="A367:C367"/>
    <mergeCell ref="A368:C368"/>
    <mergeCell ref="A374:C374"/>
    <mergeCell ref="A375:C375"/>
    <mergeCell ref="A397:C397"/>
    <mergeCell ref="A398:C398"/>
    <mergeCell ref="A399:C399"/>
    <mergeCell ref="A386:I386"/>
    <mergeCell ref="A387:I387"/>
    <mergeCell ref="A388:I388"/>
    <mergeCell ref="A390:I390"/>
    <mergeCell ref="A393:I393"/>
    <mergeCell ref="I395:I396"/>
    <mergeCell ref="A369:C369"/>
    <mergeCell ref="A370:C370"/>
    <mergeCell ref="A371:C371"/>
    <mergeCell ref="A372:C372"/>
    <mergeCell ref="A373:C373"/>
    <mergeCell ref="A381:C381"/>
    <mergeCell ref="A380:C380"/>
    <mergeCell ref="B87:D87"/>
    <mergeCell ref="B96:D96"/>
    <mergeCell ref="A356:I356"/>
    <mergeCell ref="A357:C358"/>
    <mergeCell ref="A135:C135"/>
    <mergeCell ref="D357:D358"/>
    <mergeCell ref="E357:E358"/>
    <mergeCell ref="F357:F358"/>
    <mergeCell ref="I357:I358"/>
    <mergeCell ref="G357:G358"/>
    <mergeCell ref="H357:H358"/>
    <mergeCell ref="I295:I296"/>
    <mergeCell ref="G295:G296"/>
    <mergeCell ref="H295:H296"/>
    <mergeCell ref="A199:F199"/>
    <mergeCell ref="G194:G195"/>
    <mergeCell ref="H194:H195"/>
    <mergeCell ref="A280:C280"/>
    <mergeCell ref="A281:C281"/>
    <mergeCell ref="A266:F266"/>
    <mergeCell ref="A267:I267"/>
    <mergeCell ref="A269:I269"/>
    <mergeCell ref="A270:I270"/>
    <mergeCell ref="A271:I271"/>
    <mergeCell ref="A260:B260"/>
    <mergeCell ref="A570:C570"/>
    <mergeCell ref="A241:B241"/>
    <mergeCell ref="A257:B257"/>
    <mergeCell ref="A258:B258"/>
    <mergeCell ref="A262:B262"/>
    <mergeCell ref="A130:C130"/>
    <mergeCell ref="A132:C132"/>
    <mergeCell ref="A133:C133"/>
    <mergeCell ref="A131:C131"/>
    <mergeCell ref="A169:C169"/>
    <mergeCell ref="A170:C170"/>
    <mergeCell ref="A427:C427"/>
    <mergeCell ref="A434:C434"/>
    <mergeCell ref="A436:C436"/>
    <mergeCell ref="A435:C435"/>
    <mergeCell ref="A432:C432"/>
    <mergeCell ref="A361:C361"/>
    <mergeCell ref="A359:C359"/>
    <mergeCell ref="A360:C360"/>
    <mergeCell ref="A437:C437"/>
    <mergeCell ref="A438:C438"/>
    <mergeCell ref="A439:C439"/>
    <mergeCell ref="A364:C364"/>
    <mergeCell ref="A556:C556"/>
    <mergeCell ref="A573:C573"/>
    <mergeCell ref="B92:D92"/>
    <mergeCell ref="B94:D94"/>
    <mergeCell ref="A145:C145"/>
    <mergeCell ref="B20:D20"/>
    <mergeCell ref="A331:C331"/>
    <mergeCell ref="A332:C332"/>
    <mergeCell ref="A337:C337"/>
    <mergeCell ref="A336:C336"/>
    <mergeCell ref="A335:C335"/>
    <mergeCell ref="A341:C341"/>
    <mergeCell ref="A342:C342"/>
    <mergeCell ref="A362:C362"/>
    <mergeCell ref="A363:C363"/>
    <mergeCell ref="A334:C334"/>
    <mergeCell ref="A333:C333"/>
    <mergeCell ref="A338:C338"/>
    <mergeCell ref="A344:F344"/>
    <mergeCell ref="A355:I355"/>
    <mergeCell ref="B47:D47"/>
    <mergeCell ref="A340:C340"/>
    <mergeCell ref="B34:D34"/>
    <mergeCell ref="B36:D36"/>
  </mergeCells>
  <phoneticPr fontId="7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17" firstPageNumber="8" orientation="landscape" useFirstPageNumber="1" verticalDpi="300" r:id="rId1"/>
  <headerFooter alignWithMargins="0"/>
  <rowBreaks count="14" manualBreakCount="14">
    <brk id="57" max="8" man="1"/>
    <brk id="115" max="8" man="1"/>
    <brk id="155" max="8" man="1"/>
    <brk id="208" max="8" man="1"/>
    <brk id="268" max="8" man="1"/>
    <brk id="312" max="8" man="1"/>
    <brk id="347" max="8" man="1"/>
    <brk id="385" max="8" man="1"/>
    <brk id="412" max="8" man="1"/>
    <brk id="453" max="8" man="1"/>
    <brk id="498" max="8" man="1"/>
    <brk id="525" max="8" man="1"/>
    <brk id="580" max="8" man="1"/>
    <brk id="63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1072"/>
  <sheetViews>
    <sheetView showGridLines="0" view="pageBreakPreview" zoomScale="24" zoomScaleNormal="30" zoomScaleSheetLayoutView="24" zoomScalePageLayoutView="25" workbookViewId="0">
      <selection activeCell="I609" sqref="I609"/>
    </sheetView>
  </sheetViews>
  <sheetFormatPr defaultRowHeight="35.1" customHeight="1"/>
  <cols>
    <col min="1" max="1" width="122.28515625" style="41" customWidth="1"/>
    <col min="2" max="2" width="158.140625" style="27" customWidth="1"/>
    <col min="3" max="3" width="86.140625" style="27" customWidth="1"/>
    <col min="4" max="4" width="40.28515625" style="27" customWidth="1"/>
    <col min="5" max="5" width="256" style="27" customWidth="1"/>
    <col min="6" max="6" width="70.85546875" style="11" customWidth="1"/>
    <col min="7" max="7" width="51.28515625" style="11" customWidth="1"/>
    <col min="8" max="8" width="57" style="11" customWidth="1"/>
    <col min="9" max="9" width="82.7109375" style="11" customWidth="1"/>
    <col min="10" max="10" width="95.85546875" style="11" customWidth="1"/>
    <col min="11" max="11" width="71.140625" style="11" customWidth="1"/>
    <col min="12" max="12" width="55" style="27" customWidth="1"/>
    <col min="13" max="13" width="53" style="27" bestFit="1" customWidth="1"/>
    <col min="14" max="14" width="9.140625" style="27"/>
    <col min="15" max="15" width="20.5703125" style="27" bestFit="1" customWidth="1"/>
    <col min="16" max="16384" width="9.140625" style="27"/>
  </cols>
  <sheetData>
    <row r="1" spans="1:11" ht="45">
      <c r="A1" s="979" t="s">
        <v>2493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</row>
    <row r="2" spans="1:11" ht="45">
      <c r="A2" s="979" t="s">
        <v>52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</row>
    <row r="3" spans="1:11" ht="45">
      <c r="A3" s="1040" t="s">
        <v>50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</row>
    <row r="4" spans="1:11" ht="44.25">
      <c r="A4" s="736"/>
      <c r="B4" s="736"/>
      <c r="C4" s="736"/>
      <c r="D4" s="736"/>
      <c r="E4" s="736"/>
      <c r="F4" s="736"/>
      <c r="G4" s="838"/>
      <c r="H4" s="838"/>
      <c r="I4" s="838"/>
      <c r="J4" s="838"/>
      <c r="K4" s="838"/>
    </row>
    <row r="5" spans="1:11" ht="45">
      <c r="A5" s="979" t="s">
        <v>2214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</row>
    <row r="6" spans="1:11" s="620" customFormat="1" ht="33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1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1" ht="20.100000000000001" customHeight="1">
      <c r="A8" s="979"/>
      <c r="B8" s="979"/>
      <c r="C8" s="979"/>
      <c r="D8" s="979"/>
      <c r="E8" s="979"/>
      <c r="F8" s="979"/>
      <c r="G8" s="979"/>
      <c r="H8" s="979"/>
      <c r="I8" s="979"/>
      <c r="J8" s="979"/>
      <c r="K8" s="979"/>
    </row>
    <row r="9" spans="1:11" ht="45.75" customHeight="1">
      <c r="A9" s="1029" t="s">
        <v>2492</v>
      </c>
      <c r="B9" s="1030"/>
      <c r="C9" s="1030"/>
      <c r="D9" s="1030"/>
      <c r="E9" s="1030"/>
      <c r="F9" s="1030"/>
      <c r="G9" s="1030"/>
      <c r="H9" s="1030"/>
      <c r="I9" s="1030"/>
      <c r="J9" s="1030"/>
      <c r="K9" s="1030"/>
    </row>
    <row r="10" spans="1:11" s="555" customFormat="1" ht="63.75" customHeight="1">
      <c r="A10" s="1094" t="s">
        <v>183</v>
      </c>
      <c r="B10" s="1094" t="s">
        <v>209</v>
      </c>
      <c r="C10" s="886"/>
      <c r="D10" s="886"/>
      <c r="E10" s="886"/>
      <c r="F10" s="887"/>
      <c r="G10" s="1078" t="s">
        <v>440</v>
      </c>
      <c r="H10" s="1080" t="s">
        <v>16</v>
      </c>
      <c r="I10" s="1082" t="s">
        <v>1490</v>
      </c>
      <c r="J10" s="1082" t="s">
        <v>2507</v>
      </c>
      <c r="K10" s="1089" t="s">
        <v>200</v>
      </c>
    </row>
    <row r="11" spans="1:11" s="555" customFormat="1" ht="69" customHeight="1">
      <c r="A11" s="1095"/>
      <c r="B11" s="1095"/>
      <c r="C11" s="888"/>
      <c r="D11" s="888"/>
      <c r="E11" s="888"/>
      <c r="F11" s="889"/>
      <c r="G11" s="1079"/>
      <c r="H11" s="1081"/>
      <c r="I11" s="1082"/>
      <c r="J11" s="1082"/>
      <c r="K11" s="1090"/>
    </row>
    <row r="12" spans="1:11" s="571" customFormat="1" ht="63" customHeight="1">
      <c r="A12" s="890"/>
      <c r="B12" s="1091" t="s">
        <v>1970</v>
      </c>
      <c r="C12" s="1092"/>
      <c r="D12" s="1092"/>
      <c r="E12" s="1092"/>
      <c r="F12" s="1093"/>
      <c r="G12" s="891"/>
      <c r="H12" s="892"/>
      <c r="I12" s="871">
        <f>SUM(I13:I15)</f>
        <v>108133.20000000001</v>
      </c>
      <c r="J12" s="871">
        <f>SUM(J13:J15)</f>
        <v>72088.799999999988</v>
      </c>
      <c r="K12" s="871">
        <f t="shared" ref="K12:K61" si="0">I12+J12</f>
        <v>180222</v>
      </c>
    </row>
    <row r="13" spans="1:11" s="548" customFormat="1" ht="63" customHeight="1">
      <c r="A13" s="893" t="s">
        <v>2204</v>
      </c>
      <c r="B13" s="1083" t="s">
        <v>2205</v>
      </c>
      <c r="C13" s="1084"/>
      <c r="D13" s="1084"/>
      <c r="E13" s="1084"/>
      <c r="F13" s="1085"/>
      <c r="G13" s="894">
        <v>8100</v>
      </c>
      <c r="H13" s="895">
        <v>169711</v>
      </c>
      <c r="I13" s="873">
        <f>I664</f>
        <v>33599.4</v>
      </c>
      <c r="J13" s="873">
        <f>J664</f>
        <v>22399.599999999999</v>
      </c>
      <c r="K13" s="873">
        <f t="shared" si="0"/>
        <v>55999</v>
      </c>
    </row>
    <row r="14" spans="1:11" s="548" customFormat="1" ht="63" customHeight="1">
      <c r="A14" s="893" t="s">
        <v>193</v>
      </c>
      <c r="B14" s="1083" t="s">
        <v>1476</v>
      </c>
      <c r="C14" s="1084"/>
      <c r="D14" s="1084"/>
      <c r="E14" s="1084"/>
      <c r="F14" s="1085"/>
      <c r="G14" s="894">
        <v>8100</v>
      </c>
      <c r="H14" s="896" t="s">
        <v>2445</v>
      </c>
      <c r="I14" s="873">
        <f>I669</f>
        <v>3000</v>
      </c>
      <c r="J14" s="873">
        <f>J669</f>
        <v>2000</v>
      </c>
      <c r="K14" s="873">
        <f t="shared" si="0"/>
        <v>5000</v>
      </c>
    </row>
    <row r="15" spans="1:11" s="548" customFormat="1" ht="63" customHeight="1">
      <c r="A15" s="893" t="s">
        <v>194</v>
      </c>
      <c r="B15" s="1083" t="s">
        <v>199</v>
      </c>
      <c r="C15" s="1084"/>
      <c r="D15" s="1084"/>
      <c r="E15" s="1084"/>
      <c r="F15" s="1085"/>
      <c r="G15" s="894">
        <v>8100</v>
      </c>
      <c r="H15" s="895">
        <v>169711</v>
      </c>
      <c r="I15" s="873">
        <f>I671</f>
        <v>71533.8</v>
      </c>
      <c r="J15" s="873">
        <f>J671</f>
        <v>47689.2</v>
      </c>
      <c r="K15" s="873">
        <f t="shared" si="0"/>
        <v>119223</v>
      </c>
    </row>
    <row r="16" spans="1:11" s="571" customFormat="1" ht="63" customHeight="1">
      <c r="A16" s="890"/>
      <c r="B16" s="897" t="s">
        <v>2116</v>
      </c>
      <c r="C16" s="898"/>
      <c r="D16" s="898"/>
      <c r="E16" s="898"/>
      <c r="F16" s="899"/>
      <c r="G16" s="891"/>
      <c r="H16" s="892"/>
      <c r="I16" s="871">
        <f>SUM(I17:I19)</f>
        <v>40920</v>
      </c>
      <c r="J16" s="871">
        <f>SUM(J17:J19)</f>
        <v>27280</v>
      </c>
      <c r="K16" s="871">
        <f t="shared" si="0"/>
        <v>68200</v>
      </c>
    </row>
    <row r="17" spans="1:11" s="548" customFormat="1" ht="63" customHeight="1">
      <c r="A17" s="893" t="s">
        <v>2204</v>
      </c>
      <c r="B17" s="1083" t="s">
        <v>2205</v>
      </c>
      <c r="C17" s="1084"/>
      <c r="D17" s="1084"/>
      <c r="E17" s="1084"/>
      <c r="F17" s="1085"/>
      <c r="G17" s="894">
        <v>8100</v>
      </c>
      <c r="H17" s="895">
        <v>169711</v>
      </c>
      <c r="I17" s="873">
        <f>I819</f>
        <v>32050.799999999999</v>
      </c>
      <c r="J17" s="873">
        <f>J819</f>
        <v>21367.200000000001</v>
      </c>
      <c r="K17" s="873">
        <f t="shared" si="0"/>
        <v>53418</v>
      </c>
    </row>
    <row r="18" spans="1:11" s="548" customFormat="1" ht="63" customHeight="1">
      <c r="A18" s="893" t="s">
        <v>193</v>
      </c>
      <c r="B18" s="1083" t="s">
        <v>1476</v>
      </c>
      <c r="C18" s="1084"/>
      <c r="D18" s="1084"/>
      <c r="E18" s="1084"/>
      <c r="F18" s="1085"/>
      <c r="G18" s="894">
        <v>8100</v>
      </c>
      <c r="H18" s="896" t="s">
        <v>2445</v>
      </c>
      <c r="I18" s="873">
        <f>I826</f>
        <v>2869.2</v>
      </c>
      <c r="J18" s="873">
        <f>J826</f>
        <v>1912.8</v>
      </c>
      <c r="K18" s="873">
        <f t="shared" si="0"/>
        <v>4782</v>
      </c>
    </row>
    <row r="19" spans="1:11" s="548" customFormat="1" ht="63" customHeight="1">
      <c r="A19" s="893" t="s">
        <v>244</v>
      </c>
      <c r="B19" s="1083" t="s">
        <v>266</v>
      </c>
      <c r="C19" s="1084"/>
      <c r="D19" s="1084"/>
      <c r="E19" s="1084"/>
      <c r="F19" s="1085"/>
      <c r="G19" s="894">
        <v>8100</v>
      </c>
      <c r="H19" s="895">
        <v>169711</v>
      </c>
      <c r="I19" s="873">
        <f>I828</f>
        <v>6000</v>
      </c>
      <c r="J19" s="873">
        <f>J828</f>
        <v>4000</v>
      </c>
      <c r="K19" s="873">
        <f t="shared" si="0"/>
        <v>10000</v>
      </c>
    </row>
    <row r="20" spans="1:11" s="571" customFormat="1" ht="63" customHeight="1">
      <c r="A20" s="890"/>
      <c r="B20" s="1086" t="s">
        <v>2191</v>
      </c>
      <c r="C20" s="1087"/>
      <c r="D20" s="1087"/>
      <c r="E20" s="1087"/>
      <c r="F20" s="1088"/>
      <c r="G20" s="891"/>
      <c r="H20" s="892"/>
      <c r="I20" s="871">
        <f>SUM(I21:I23)</f>
        <v>135962.4</v>
      </c>
      <c r="J20" s="871">
        <f>SUM(J21:J23)</f>
        <v>90641.600000000006</v>
      </c>
      <c r="K20" s="871">
        <f t="shared" si="0"/>
        <v>226604</v>
      </c>
    </row>
    <row r="21" spans="1:11" s="548" customFormat="1" ht="63" customHeight="1">
      <c r="A21" s="893" t="s">
        <v>2204</v>
      </c>
      <c r="B21" s="1083" t="s">
        <v>2205</v>
      </c>
      <c r="C21" s="1084"/>
      <c r="D21" s="1084"/>
      <c r="E21" s="1084"/>
      <c r="F21" s="1085"/>
      <c r="G21" s="894">
        <v>8100</v>
      </c>
      <c r="H21" s="895">
        <v>169711</v>
      </c>
      <c r="I21" s="873">
        <f>I835</f>
        <v>110462.39999999999</v>
      </c>
      <c r="J21" s="873">
        <f>J835</f>
        <v>73641.600000000006</v>
      </c>
      <c r="K21" s="873">
        <f t="shared" si="0"/>
        <v>184104</v>
      </c>
    </row>
    <row r="22" spans="1:11" s="548" customFormat="1" ht="63" customHeight="1">
      <c r="A22" s="893" t="s">
        <v>193</v>
      </c>
      <c r="B22" s="1083" t="s">
        <v>1476</v>
      </c>
      <c r="C22" s="1084"/>
      <c r="D22" s="1084"/>
      <c r="E22" s="1084"/>
      <c r="F22" s="1085"/>
      <c r="G22" s="894">
        <v>8100</v>
      </c>
      <c r="H22" s="896" t="s">
        <v>2445</v>
      </c>
      <c r="I22" s="873">
        <f>I840</f>
        <v>12000</v>
      </c>
      <c r="J22" s="873">
        <f>J840</f>
        <v>8000</v>
      </c>
      <c r="K22" s="873">
        <f t="shared" si="0"/>
        <v>20000</v>
      </c>
    </row>
    <row r="23" spans="1:11" s="548" customFormat="1" ht="63" customHeight="1">
      <c r="A23" s="893" t="s">
        <v>244</v>
      </c>
      <c r="B23" s="1083" t="s">
        <v>266</v>
      </c>
      <c r="C23" s="1084"/>
      <c r="D23" s="1084"/>
      <c r="E23" s="1084"/>
      <c r="F23" s="1085"/>
      <c r="G23" s="894">
        <v>8100</v>
      </c>
      <c r="H23" s="895">
        <v>169711</v>
      </c>
      <c r="I23" s="873">
        <f>I842</f>
        <v>13500</v>
      </c>
      <c r="J23" s="873">
        <f>J842</f>
        <v>9000</v>
      </c>
      <c r="K23" s="873">
        <f t="shared" si="0"/>
        <v>22500</v>
      </c>
    </row>
    <row r="24" spans="1:11" s="571" customFormat="1" ht="63" customHeight="1">
      <c r="A24" s="890"/>
      <c r="B24" s="1086" t="s">
        <v>1803</v>
      </c>
      <c r="C24" s="1087"/>
      <c r="D24" s="1087"/>
      <c r="E24" s="1087"/>
      <c r="F24" s="1088"/>
      <c r="G24" s="891"/>
      <c r="H24" s="892"/>
      <c r="I24" s="871">
        <f>SUM(I25:I27)</f>
        <v>148380</v>
      </c>
      <c r="J24" s="871">
        <f>SUM(J25:J27)</f>
        <v>98920</v>
      </c>
      <c r="K24" s="871">
        <f t="shared" si="0"/>
        <v>247300</v>
      </c>
    </row>
    <row r="25" spans="1:11" s="548" customFormat="1" ht="63" customHeight="1">
      <c r="A25" s="893" t="s">
        <v>2275</v>
      </c>
      <c r="B25" s="1083" t="s">
        <v>2212</v>
      </c>
      <c r="C25" s="1084"/>
      <c r="D25" s="1084"/>
      <c r="E25" s="1084"/>
      <c r="F25" s="1085"/>
      <c r="G25" s="894">
        <v>8100</v>
      </c>
      <c r="H25" s="895">
        <v>169711</v>
      </c>
      <c r="I25" s="873">
        <f>I267</f>
        <v>57310.799999999996</v>
      </c>
      <c r="J25" s="873">
        <f>J267</f>
        <v>38207.199999999997</v>
      </c>
      <c r="K25" s="873">
        <f t="shared" si="0"/>
        <v>95518</v>
      </c>
    </row>
    <row r="26" spans="1:11" s="548" customFormat="1" ht="63" customHeight="1">
      <c r="A26" s="893" t="s">
        <v>2204</v>
      </c>
      <c r="B26" s="1083" t="s">
        <v>2205</v>
      </c>
      <c r="C26" s="1084"/>
      <c r="D26" s="1084"/>
      <c r="E26" s="1084"/>
      <c r="F26" s="1085"/>
      <c r="G26" s="894">
        <v>8100</v>
      </c>
      <c r="H26" s="895">
        <v>169711</v>
      </c>
      <c r="I26" s="873">
        <f>I269</f>
        <v>74269.2</v>
      </c>
      <c r="J26" s="873">
        <f>J269</f>
        <v>49512.800000000003</v>
      </c>
      <c r="K26" s="873">
        <f t="shared" si="0"/>
        <v>123782</v>
      </c>
    </row>
    <row r="27" spans="1:11" s="548" customFormat="1" ht="63" customHeight="1">
      <c r="A27" s="893" t="s">
        <v>244</v>
      </c>
      <c r="B27" s="1083" t="s">
        <v>266</v>
      </c>
      <c r="C27" s="1084"/>
      <c r="D27" s="1084"/>
      <c r="E27" s="1084"/>
      <c r="F27" s="1085"/>
      <c r="G27" s="894">
        <v>8100</v>
      </c>
      <c r="H27" s="895">
        <v>169711</v>
      </c>
      <c r="I27" s="873">
        <f>I278</f>
        <v>16800</v>
      </c>
      <c r="J27" s="873">
        <f>J278</f>
        <v>11200</v>
      </c>
      <c r="K27" s="873">
        <f t="shared" si="0"/>
        <v>28000</v>
      </c>
    </row>
    <row r="28" spans="1:11" s="571" customFormat="1" ht="63" customHeight="1">
      <c r="A28" s="890"/>
      <c r="B28" s="1086" t="s">
        <v>1952</v>
      </c>
      <c r="C28" s="1087"/>
      <c r="D28" s="1087"/>
      <c r="E28" s="1087"/>
      <c r="F28" s="1088"/>
      <c r="G28" s="891"/>
      <c r="H28" s="892"/>
      <c r="I28" s="871">
        <f>SUM(I29:I31)</f>
        <v>66321</v>
      </c>
      <c r="J28" s="871">
        <f>SUM(J29:J31)</f>
        <v>44214</v>
      </c>
      <c r="K28" s="871">
        <f t="shared" si="0"/>
        <v>110535</v>
      </c>
    </row>
    <row r="29" spans="1:11" s="548" customFormat="1" ht="63" customHeight="1">
      <c r="A29" s="893" t="s">
        <v>2204</v>
      </c>
      <c r="B29" s="1083" t="s">
        <v>2205</v>
      </c>
      <c r="C29" s="1084"/>
      <c r="D29" s="1084"/>
      <c r="E29" s="1084"/>
      <c r="F29" s="1085"/>
      <c r="G29" s="894">
        <v>8100</v>
      </c>
      <c r="H29" s="895">
        <v>169711</v>
      </c>
      <c r="I29" s="873">
        <f>I677</f>
        <v>58341</v>
      </c>
      <c r="J29" s="873">
        <f>J677</f>
        <v>38894</v>
      </c>
      <c r="K29" s="873">
        <f t="shared" si="0"/>
        <v>97235</v>
      </c>
    </row>
    <row r="30" spans="1:11" s="548" customFormat="1" ht="63" customHeight="1">
      <c r="A30" s="893" t="s">
        <v>193</v>
      </c>
      <c r="B30" s="1083" t="s">
        <v>1476</v>
      </c>
      <c r="C30" s="1084"/>
      <c r="D30" s="1084"/>
      <c r="E30" s="1084"/>
      <c r="F30" s="1085"/>
      <c r="G30" s="894">
        <v>8100</v>
      </c>
      <c r="H30" s="896" t="s">
        <v>2445</v>
      </c>
      <c r="I30" s="873">
        <f>I683</f>
        <v>5580</v>
      </c>
      <c r="J30" s="873">
        <f>J683</f>
        <v>3720</v>
      </c>
      <c r="K30" s="873">
        <f t="shared" si="0"/>
        <v>9300</v>
      </c>
    </row>
    <row r="31" spans="1:11" s="548" customFormat="1" ht="63" customHeight="1">
      <c r="A31" s="893" t="s">
        <v>244</v>
      </c>
      <c r="B31" s="1083" t="s">
        <v>266</v>
      </c>
      <c r="C31" s="1084"/>
      <c r="D31" s="1084"/>
      <c r="E31" s="1084"/>
      <c r="F31" s="1085"/>
      <c r="G31" s="894">
        <v>8100</v>
      </c>
      <c r="H31" s="895">
        <v>169711</v>
      </c>
      <c r="I31" s="873">
        <f>I685</f>
        <v>2400</v>
      </c>
      <c r="J31" s="873">
        <f>J685</f>
        <v>1600</v>
      </c>
      <c r="K31" s="873">
        <f t="shared" si="0"/>
        <v>4000</v>
      </c>
    </row>
    <row r="32" spans="1:11" s="571" customFormat="1" ht="63" customHeight="1">
      <c r="A32" s="890"/>
      <c r="B32" s="1086" t="s">
        <v>2156</v>
      </c>
      <c r="C32" s="1087"/>
      <c r="D32" s="1087"/>
      <c r="E32" s="1087"/>
      <c r="F32" s="1088"/>
      <c r="G32" s="891"/>
      <c r="H32" s="892"/>
      <c r="I32" s="871">
        <f>SUM(I33:I35)</f>
        <v>44463</v>
      </c>
      <c r="J32" s="871">
        <f>SUM(J33:J35)</f>
        <v>29642</v>
      </c>
      <c r="K32" s="871">
        <f t="shared" si="0"/>
        <v>74105</v>
      </c>
    </row>
    <row r="33" spans="1:11" s="548" customFormat="1" ht="63" customHeight="1">
      <c r="A33" s="893" t="s">
        <v>2204</v>
      </c>
      <c r="B33" s="1083" t="s">
        <v>2205</v>
      </c>
      <c r="C33" s="1084"/>
      <c r="D33" s="1084"/>
      <c r="E33" s="1084"/>
      <c r="F33" s="1085"/>
      <c r="G33" s="894">
        <v>8100</v>
      </c>
      <c r="H33" s="895">
        <v>169711</v>
      </c>
      <c r="I33" s="873">
        <f>I861</f>
        <v>32463</v>
      </c>
      <c r="J33" s="873">
        <f>J861</f>
        <v>21642</v>
      </c>
      <c r="K33" s="873">
        <f t="shared" si="0"/>
        <v>54105</v>
      </c>
    </row>
    <row r="34" spans="1:11" s="548" customFormat="1" ht="63" customHeight="1">
      <c r="A34" s="893" t="s">
        <v>193</v>
      </c>
      <c r="B34" s="1083" t="s">
        <v>1476</v>
      </c>
      <c r="C34" s="1084"/>
      <c r="D34" s="1084"/>
      <c r="E34" s="1084"/>
      <c r="F34" s="1085"/>
      <c r="G34" s="894">
        <v>8100</v>
      </c>
      <c r="H34" s="896" t="s">
        <v>2445</v>
      </c>
      <c r="I34" s="873">
        <f>I868</f>
        <v>6000</v>
      </c>
      <c r="J34" s="873">
        <f>J868</f>
        <v>4000</v>
      </c>
      <c r="K34" s="873">
        <f t="shared" si="0"/>
        <v>10000</v>
      </c>
    </row>
    <row r="35" spans="1:11" s="548" customFormat="1" ht="63" customHeight="1">
      <c r="A35" s="893" t="s">
        <v>244</v>
      </c>
      <c r="B35" s="1083" t="s">
        <v>266</v>
      </c>
      <c r="C35" s="1084"/>
      <c r="D35" s="1084"/>
      <c r="E35" s="1084"/>
      <c r="F35" s="1085"/>
      <c r="G35" s="894">
        <v>8100</v>
      </c>
      <c r="H35" s="895">
        <v>169711</v>
      </c>
      <c r="I35" s="873">
        <f>I870</f>
        <v>6000</v>
      </c>
      <c r="J35" s="873">
        <f>J870</f>
        <v>4000</v>
      </c>
      <c r="K35" s="873">
        <f t="shared" si="0"/>
        <v>10000</v>
      </c>
    </row>
    <row r="36" spans="1:11" s="571" customFormat="1" ht="63" customHeight="1">
      <c r="A36" s="890"/>
      <c r="B36" s="1086" t="s">
        <v>1947</v>
      </c>
      <c r="C36" s="1087"/>
      <c r="D36" s="1087"/>
      <c r="E36" s="1087"/>
      <c r="F36" s="1088"/>
      <c r="G36" s="891"/>
      <c r="H36" s="892"/>
      <c r="I36" s="871">
        <f>SUM(I37:I37)</f>
        <v>41142.6</v>
      </c>
      <c r="J36" s="871">
        <f>SUM(J37:J37)</f>
        <v>27428.399999999998</v>
      </c>
      <c r="K36" s="871">
        <f t="shared" si="0"/>
        <v>68571</v>
      </c>
    </row>
    <row r="37" spans="1:11" s="548" customFormat="1" ht="63" customHeight="1">
      <c r="A37" s="893" t="s">
        <v>2204</v>
      </c>
      <c r="B37" s="1083" t="s">
        <v>2205</v>
      </c>
      <c r="C37" s="1084"/>
      <c r="D37" s="1084"/>
      <c r="E37" s="1084"/>
      <c r="F37" s="1085"/>
      <c r="G37" s="894">
        <v>8100</v>
      </c>
      <c r="H37" s="895">
        <v>169711</v>
      </c>
      <c r="I37" s="873">
        <f>I691</f>
        <v>41142.6</v>
      </c>
      <c r="J37" s="873">
        <f>J691</f>
        <v>27428.399999999998</v>
      </c>
      <c r="K37" s="873">
        <f t="shared" si="0"/>
        <v>68571</v>
      </c>
    </row>
    <row r="38" spans="1:11" s="571" customFormat="1" ht="63" customHeight="1">
      <c r="A38" s="890"/>
      <c r="B38" s="1086" t="s">
        <v>2030</v>
      </c>
      <c r="C38" s="1087"/>
      <c r="D38" s="1087"/>
      <c r="E38" s="1087"/>
      <c r="F38" s="1088"/>
      <c r="G38" s="891"/>
      <c r="H38" s="892"/>
      <c r="I38" s="871">
        <f>SUM(I39:I42)</f>
        <v>84009</v>
      </c>
      <c r="J38" s="871">
        <f>SUM(J39:J42)</f>
        <v>56006</v>
      </c>
      <c r="K38" s="871">
        <f t="shared" si="0"/>
        <v>140015</v>
      </c>
    </row>
    <row r="39" spans="1:11" s="548" customFormat="1" ht="63" customHeight="1">
      <c r="A39" s="893" t="s">
        <v>2275</v>
      </c>
      <c r="B39" s="1083" t="s">
        <v>2212</v>
      </c>
      <c r="C39" s="1084"/>
      <c r="D39" s="1084"/>
      <c r="E39" s="1084"/>
      <c r="F39" s="1085"/>
      <c r="G39" s="894">
        <v>8100</v>
      </c>
      <c r="H39" s="895">
        <v>169711</v>
      </c>
      <c r="I39" s="873">
        <f>I877</f>
        <v>19851</v>
      </c>
      <c r="J39" s="873">
        <f>J877</f>
        <v>13234</v>
      </c>
      <c r="K39" s="873">
        <f t="shared" si="0"/>
        <v>33085</v>
      </c>
    </row>
    <row r="40" spans="1:11" s="548" customFormat="1" ht="63" customHeight="1">
      <c r="A40" s="893" t="s">
        <v>2204</v>
      </c>
      <c r="B40" s="1083" t="s">
        <v>2205</v>
      </c>
      <c r="C40" s="1084"/>
      <c r="D40" s="1084"/>
      <c r="E40" s="1084"/>
      <c r="F40" s="1085"/>
      <c r="G40" s="894">
        <v>8100</v>
      </c>
      <c r="H40" s="895">
        <v>169711</v>
      </c>
      <c r="I40" s="873">
        <f>I879</f>
        <v>56358</v>
      </c>
      <c r="J40" s="873">
        <f>J879</f>
        <v>37572</v>
      </c>
      <c r="K40" s="873">
        <f t="shared" si="0"/>
        <v>93930</v>
      </c>
    </row>
    <row r="41" spans="1:11" s="548" customFormat="1" ht="63" customHeight="1">
      <c r="A41" s="893" t="s">
        <v>193</v>
      </c>
      <c r="B41" s="1083" t="s">
        <v>1476</v>
      </c>
      <c r="C41" s="1084"/>
      <c r="D41" s="1084"/>
      <c r="E41" s="1084"/>
      <c r="F41" s="1085"/>
      <c r="G41" s="894">
        <v>8100</v>
      </c>
      <c r="H41" s="896" t="s">
        <v>2445</v>
      </c>
      <c r="I41" s="873">
        <f>I885</f>
        <v>6000</v>
      </c>
      <c r="J41" s="873">
        <f>J885</f>
        <v>4000</v>
      </c>
      <c r="K41" s="873">
        <f t="shared" si="0"/>
        <v>10000</v>
      </c>
    </row>
    <row r="42" spans="1:11" s="548" customFormat="1" ht="63" customHeight="1">
      <c r="A42" s="893" t="s">
        <v>244</v>
      </c>
      <c r="B42" s="1083" t="s">
        <v>266</v>
      </c>
      <c r="C42" s="1084"/>
      <c r="D42" s="1084"/>
      <c r="E42" s="1084"/>
      <c r="F42" s="1085"/>
      <c r="G42" s="894">
        <v>8100</v>
      </c>
      <c r="H42" s="895">
        <v>169711</v>
      </c>
      <c r="I42" s="873">
        <f>I887</f>
        <v>1800</v>
      </c>
      <c r="J42" s="873">
        <f>J887</f>
        <v>1200</v>
      </c>
      <c r="K42" s="873">
        <f t="shared" si="0"/>
        <v>3000</v>
      </c>
    </row>
    <row r="43" spans="1:11" s="571" customFormat="1" ht="63" customHeight="1">
      <c r="A43" s="890"/>
      <c r="B43" s="1086" t="s">
        <v>1709</v>
      </c>
      <c r="C43" s="1087"/>
      <c r="D43" s="1087"/>
      <c r="E43" s="1087"/>
      <c r="F43" s="1088"/>
      <c r="G43" s="891"/>
      <c r="H43" s="892"/>
      <c r="I43" s="871">
        <f>SUM(I44:I48)</f>
        <v>805472</v>
      </c>
      <c r="J43" s="871">
        <f>SUM(J44:J48)</f>
        <v>438818</v>
      </c>
      <c r="K43" s="871">
        <f t="shared" si="0"/>
        <v>1244290</v>
      </c>
    </row>
    <row r="44" spans="1:11" s="548" customFormat="1" ht="63" customHeight="1">
      <c r="A44" s="893" t="s">
        <v>2</v>
      </c>
      <c r="B44" s="1083" t="s">
        <v>347</v>
      </c>
      <c r="C44" s="1084"/>
      <c r="D44" s="1084"/>
      <c r="E44" s="1084"/>
      <c r="F44" s="1085"/>
      <c r="G44" s="894">
        <v>8100</v>
      </c>
      <c r="H44" s="895">
        <v>169708</v>
      </c>
      <c r="I44" s="873">
        <f>I229-I45</f>
        <v>620157</v>
      </c>
      <c r="J44" s="873">
        <f>J229-J45</f>
        <v>332188</v>
      </c>
      <c r="K44" s="873">
        <f t="shared" si="0"/>
        <v>952345</v>
      </c>
    </row>
    <row r="45" spans="1:11" s="548" customFormat="1" ht="63" customHeight="1">
      <c r="A45" s="893"/>
      <c r="B45" s="1083" t="s">
        <v>2465</v>
      </c>
      <c r="C45" s="1084"/>
      <c r="D45" s="1084"/>
      <c r="E45" s="1084"/>
      <c r="F45" s="1085"/>
      <c r="G45" s="894"/>
      <c r="H45" s="895"/>
      <c r="I45" s="873">
        <f>I244+I245</f>
        <v>24172</v>
      </c>
      <c r="J45" s="873">
        <f>J244</f>
        <v>0</v>
      </c>
      <c r="K45" s="873">
        <f>I45+J45</f>
        <v>24172</v>
      </c>
    </row>
    <row r="46" spans="1:11" s="548" customFormat="1" ht="63" customHeight="1">
      <c r="A46" s="893" t="s">
        <v>480</v>
      </c>
      <c r="B46" s="1083" t="s">
        <v>482</v>
      </c>
      <c r="C46" s="1084"/>
      <c r="D46" s="1084"/>
      <c r="E46" s="1084"/>
      <c r="F46" s="1085"/>
      <c r="G46" s="894">
        <v>8100</v>
      </c>
      <c r="H46" s="895">
        <v>169715</v>
      </c>
      <c r="I46" s="873">
        <f>I246-I47</f>
        <v>150985</v>
      </c>
      <c r="J46" s="873">
        <f>J246-J47</f>
        <v>103915</v>
      </c>
      <c r="K46" s="873">
        <f t="shared" si="0"/>
        <v>254900</v>
      </c>
    </row>
    <row r="47" spans="1:11" s="548" customFormat="1" ht="63" customHeight="1">
      <c r="A47" s="893"/>
      <c r="B47" s="1083" t="s">
        <v>2466</v>
      </c>
      <c r="C47" s="1084"/>
      <c r="D47" s="1084"/>
      <c r="E47" s="1084"/>
      <c r="F47" s="1085"/>
      <c r="G47" s="894"/>
      <c r="H47" s="895"/>
      <c r="I47" s="873">
        <f>I248</f>
        <v>6211</v>
      </c>
      <c r="J47" s="873">
        <f>J248</f>
        <v>0</v>
      </c>
      <c r="K47" s="873">
        <f>I47+J47</f>
        <v>6211</v>
      </c>
    </row>
    <row r="48" spans="1:11" s="548" customFormat="1" ht="63" customHeight="1">
      <c r="A48" s="893" t="s">
        <v>533</v>
      </c>
      <c r="B48" s="1083" t="s">
        <v>1255</v>
      </c>
      <c r="C48" s="1084"/>
      <c r="D48" s="1084"/>
      <c r="E48" s="1084"/>
      <c r="F48" s="1085"/>
      <c r="G48" s="894">
        <v>8100</v>
      </c>
      <c r="H48" s="895">
        <v>169709</v>
      </c>
      <c r="I48" s="873">
        <f>I249</f>
        <v>3947</v>
      </c>
      <c r="J48" s="873">
        <f>J249</f>
        <v>2715</v>
      </c>
      <c r="K48" s="873">
        <f t="shared" si="0"/>
        <v>6662</v>
      </c>
    </row>
    <row r="49" spans="1:11" s="571" customFormat="1" ht="63" customHeight="1">
      <c r="A49" s="890"/>
      <c r="B49" s="1086" t="s">
        <v>1711</v>
      </c>
      <c r="C49" s="1087"/>
      <c r="D49" s="1087"/>
      <c r="E49" s="1087"/>
      <c r="F49" s="1088"/>
      <c r="G49" s="891"/>
      <c r="H49" s="892"/>
      <c r="I49" s="871">
        <f>SUM(I50:I54)</f>
        <v>908290</v>
      </c>
      <c r="J49" s="871">
        <f>SUM(J50:J54)</f>
        <v>552680</v>
      </c>
      <c r="K49" s="871">
        <f t="shared" si="0"/>
        <v>1460970</v>
      </c>
    </row>
    <row r="50" spans="1:11" s="548" customFormat="1" ht="63" customHeight="1">
      <c r="A50" s="893" t="s">
        <v>2</v>
      </c>
      <c r="B50" s="1083" t="s">
        <v>347</v>
      </c>
      <c r="C50" s="1084"/>
      <c r="D50" s="1084"/>
      <c r="E50" s="1084"/>
      <c r="F50" s="1085"/>
      <c r="G50" s="894">
        <v>8100</v>
      </c>
      <c r="H50" s="895">
        <v>169708</v>
      </c>
      <c r="I50" s="873">
        <f>I284-I51</f>
        <v>690303</v>
      </c>
      <c r="J50" s="873">
        <f>J284-J51</f>
        <v>427202</v>
      </c>
      <c r="K50" s="873">
        <f t="shared" si="0"/>
        <v>1117505</v>
      </c>
    </row>
    <row r="51" spans="1:11" s="548" customFormat="1" ht="63" customHeight="1">
      <c r="A51" s="893"/>
      <c r="B51" s="1083" t="s">
        <v>2465</v>
      </c>
      <c r="C51" s="1084"/>
      <c r="D51" s="1084"/>
      <c r="E51" s="1084"/>
      <c r="F51" s="1085"/>
      <c r="G51" s="894"/>
      <c r="H51" s="895"/>
      <c r="I51" s="873">
        <f>I297+I298</f>
        <v>28363</v>
      </c>
      <c r="J51" s="873">
        <f>J297</f>
        <v>0</v>
      </c>
      <c r="K51" s="873">
        <f>I51+J51</f>
        <v>28363</v>
      </c>
    </row>
    <row r="52" spans="1:11" s="548" customFormat="1" ht="63" customHeight="1">
      <c r="A52" s="893" t="s">
        <v>480</v>
      </c>
      <c r="B52" s="1083" t="s">
        <v>482</v>
      </c>
      <c r="C52" s="1084"/>
      <c r="D52" s="1084"/>
      <c r="E52" s="1084"/>
      <c r="F52" s="1085"/>
      <c r="G52" s="894">
        <v>8100</v>
      </c>
      <c r="H52" s="895">
        <v>169715</v>
      </c>
      <c r="I52" s="873">
        <f>I299-I53</f>
        <v>177672</v>
      </c>
      <c r="J52" s="873">
        <f>J299-J53</f>
        <v>122283</v>
      </c>
      <c r="K52" s="873">
        <f t="shared" si="0"/>
        <v>299955</v>
      </c>
    </row>
    <row r="53" spans="1:11" s="548" customFormat="1" ht="63" customHeight="1">
      <c r="A53" s="893"/>
      <c r="B53" s="1083" t="s">
        <v>2466</v>
      </c>
      <c r="C53" s="1084"/>
      <c r="D53" s="1084"/>
      <c r="E53" s="1084"/>
      <c r="F53" s="1085"/>
      <c r="G53" s="894"/>
      <c r="H53" s="895"/>
      <c r="I53" s="873">
        <f>I301</f>
        <v>7309</v>
      </c>
      <c r="J53" s="873">
        <f>J301</f>
        <v>0</v>
      </c>
      <c r="K53" s="873">
        <f>I53+J53</f>
        <v>7309</v>
      </c>
    </row>
    <row r="54" spans="1:11" s="548" customFormat="1" ht="63" customHeight="1">
      <c r="A54" s="893" t="s">
        <v>533</v>
      </c>
      <c r="B54" s="1083" t="s">
        <v>1255</v>
      </c>
      <c r="C54" s="1084"/>
      <c r="D54" s="1084"/>
      <c r="E54" s="1084"/>
      <c r="F54" s="1085"/>
      <c r="G54" s="894">
        <v>8100</v>
      </c>
      <c r="H54" s="895">
        <v>169709</v>
      </c>
      <c r="I54" s="873">
        <f>I302</f>
        <v>4643</v>
      </c>
      <c r="J54" s="873">
        <f>J302</f>
        <v>3195</v>
      </c>
      <c r="K54" s="873">
        <f t="shared" si="0"/>
        <v>7838</v>
      </c>
    </row>
    <row r="55" spans="1:11" s="571" customFormat="1" ht="63" customHeight="1">
      <c r="A55" s="890"/>
      <c r="B55" s="1086" t="s">
        <v>1602</v>
      </c>
      <c r="C55" s="1087"/>
      <c r="D55" s="1087"/>
      <c r="E55" s="1087"/>
      <c r="F55" s="1088"/>
      <c r="G55" s="891"/>
      <c r="H55" s="892"/>
      <c r="I55" s="871">
        <f>SUM(I56:I58)</f>
        <v>711751.8</v>
      </c>
      <c r="J55" s="871">
        <f>SUM(J56:J58)</f>
        <v>474501.2</v>
      </c>
      <c r="K55" s="871">
        <f t="shared" si="0"/>
        <v>1186253</v>
      </c>
    </row>
    <row r="56" spans="1:11" s="548" customFormat="1" ht="63" customHeight="1">
      <c r="A56" s="893" t="s">
        <v>2275</v>
      </c>
      <c r="B56" s="1083" t="s">
        <v>2212</v>
      </c>
      <c r="C56" s="1084"/>
      <c r="D56" s="1084"/>
      <c r="E56" s="1084"/>
      <c r="F56" s="1085"/>
      <c r="G56" s="894">
        <v>8100</v>
      </c>
      <c r="H56" s="895">
        <v>169711</v>
      </c>
      <c r="I56" s="873">
        <f>I318</f>
        <v>531000</v>
      </c>
      <c r="J56" s="873">
        <f>J318</f>
        <v>354000</v>
      </c>
      <c r="K56" s="873">
        <f t="shared" si="0"/>
        <v>885000</v>
      </c>
    </row>
    <row r="57" spans="1:11" s="548" customFormat="1" ht="63" customHeight="1">
      <c r="A57" s="893" t="s">
        <v>2204</v>
      </c>
      <c r="B57" s="1083" t="s">
        <v>2205</v>
      </c>
      <c r="C57" s="1084"/>
      <c r="D57" s="1084"/>
      <c r="E57" s="1084"/>
      <c r="F57" s="1085"/>
      <c r="G57" s="894">
        <v>8100</v>
      </c>
      <c r="H57" s="895">
        <v>169711</v>
      </c>
      <c r="I57" s="873">
        <f>I320</f>
        <v>173551.8</v>
      </c>
      <c r="J57" s="873">
        <f>J320</f>
        <v>115701.2</v>
      </c>
      <c r="K57" s="873">
        <f t="shared" si="0"/>
        <v>289253</v>
      </c>
    </row>
    <row r="58" spans="1:11" s="548" customFormat="1" ht="63" customHeight="1">
      <c r="A58" s="893" t="s">
        <v>193</v>
      </c>
      <c r="B58" s="1083" t="s">
        <v>1476</v>
      </c>
      <c r="C58" s="1084"/>
      <c r="D58" s="1084"/>
      <c r="E58" s="1084"/>
      <c r="F58" s="1085"/>
      <c r="G58" s="894">
        <v>8100</v>
      </c>
      <c r="H58" s="896" t="s">
        <v>2445</v>
      </c>
      <c r="I58" s="873">
        <f>I326</f>
        <v>7200</v>
      </c>
      <c r="J58" s="873">
        <f>J326</f>
        <v>4800</v>
      </c>
      <c r="K58" s="873">
        <f t="shared" si="0"/>
        <v>12000</v>
      </c>
    </row>
    <row r="59" spans="1:11" s="571" customFormat="1" ht="63" customHeight="1">
      <c r="A59" s="890"/>
      <c r="B59" s="1086" t="s">
        <v>1542</v>
      </c>
      <c r="C59" s="1087"/>
      <c r="D59" s="1087"/>
      <c r="E59" s="1087"/>
      <c r="F59" s="1088"/>
      <c r="G59" s="891"/>
      <c r="H59" s="892"/>
      <c r="I59" s="871">
        <f>SUM(I60:I61)</f>
        <v>290648.40000000002</v>
      </c>
      <c r="J59" s="871">
        <f>SUM(J60:J61)</f>
        <v>193765.59999999998</v>
      </c>
      <c r="K59" s="871">
        <f t="shared" si="0"/>
        <v>484414</v>
      </c>
    </row>
    <row r="60" spans="1:11" s="548" customFormat="1" ht="63" customHeight="1">
      <c r="A60" s="893" t="s">
        <v>2204</v>
      </c>
      <c r="B60" s="1083" t="s">
        <v>2205</v>
      </c>
      <c r="C60" s="1084"/>
      <c r="D60" s="1084"/>
      <c r="E60" s="1084"/>
      <c r="F60" s="1085"/>
      <c r="G60" s="894">
        <v>8100</v>
      </c>
      <c r="H60" s="895">
        <v>169711</v>
      </c>
      <c r="I60" s="873">
        <f>I405</f>
        <v>6600</v>
      </c>
      <c r="J60" s="873">
        <f>J405</f>
        <v>4400</v>
      </c>
      <c r="K60" s="873">
        <f t="shared" si="0"/>
        <v>11000</v>
      </c>
    </row>
    <row r="61" spans="1:11" s="548" customFormat="1" ht="63" customHeight="1">
      <c r="A61" s="893" t="s">
        <v>244</v>
      </c>
      <c r="B61" s="1083" t="s">
        <v>266</v>
      </c>
      <c r="C61" s="1084"/>
      <c r="D61" s="1084"/>
      <c r="E61" s="1084"/>
      <c r="F61" s="1085"/>
      <c r="G61" s="894">
        <v>8100</v>
      </c>
      <c r="H61" s="895">
        <v>169711</v>
      </c>
      <c r="I61" s="873">
        <f>I331</f>
        <v>284048.40000000002</v>
      </c>
      <c r="J61" s="873">
        <f>J331</f>
        <v>189365.59999999998</v>
      </c>
      <c r="K61" s="873">
        <f t="shared" si="0"/>
        <v>473414</v>
      </c>
    </row>
    <row r="62" spans="1:11" s="548" customFormat="1" ht="42" customHeight="1">
      <c r="A62" s="761"/>
      <c r="B62" s="760"/>
      <c r="C62" s="760"/>
      <c r="D62" s="760"/>
      <c r="E62" s="760"/>
      <c r="F62" s="760"/>
      <c r="G62" s="762"/>
      <c r="H62" s="762"/>
      <c r="I62" s="763"/>
      <c r="J62" s="763"/>
      <c r="K62" s="763"/>
    </row>
    <row r="63" spans="1:11" ht="45">
      <c r="A63" s="979" t="s">
        <v>2493</v>
      </c>
      <c r="B63" s="979"/>
      <c r="C63" s="979"/>
      <c r="D63" s="979"/>
      <c r="E63" s="979"/>
      <c r="F63" s="979"/>
      <c r="G63" s="979"/>
      <c r="H63" s="979"/>
      <c r="I63" s="979"/>
      <c r="J63" s="979"/>
      <c r="K63" s="979"/>
    </row>
    <row r="64" spans="1:11" ht="45">
      <c r="A64" s="979" t="s">
        <v>52</v>
      </c>
      <c r="B64" s="979"/>
      <c r="C64" s="979"/>
      <c r="D64" s="979"/>
      <c r="E64" s="979"/>
      <c r="F64" s="979"/>
      <c r="G64" s="979"/>
      <c r="H64" s="979"/>
      <c r="I64" s="979"/>
      <c r="J64" s="979"/>
      <c r="K64" s="979"/>
    </row>
    <row r="65" spans="1:11" ht="45">
      <c r="A65" s="1040" t="s">
        <v>50</v>
      </c>
      <c r="B65" s="1040"/>
      <c r="C65" s="1040"/>
      <c r="D65" s="1040"/>
      <c r="E65" s="1040"/>
      <c r="F65" s="1040"/>
      <c r="G65" s="1040"/>
      <c r="H65" s="1040"/>
      <c r="I65" s="1040"/>
      <c r="J65" s="1040"/>
      <c r="K65" s="1040"/>
    </row>
    <row r="66" spans="1:11" ht="44.25">
      <c r="A66" s="736"/>
      <c r="B66" s="736"/>
      <c r="C66" s="736"/>
      <c r="D66" s="736"/>
      <c r="E66" s="736"/>
      <c r="F66" s="736"/>
      <c r="G66" s="838"/>
      <c r="H66" s="838"/>
      <c r="I66" s="838"/>
      <c r="J66" s="838"/>
      <c r="K66" s="838"/>
    </row>
    <row r="67" spans="1:11" ht="45">
      <c r="A67" s="979" t="s">
        <v>2214</v>
      </c>
      <c r="B67" s="979"/>
      <c r="C67" s="979"/>
      <c r="D67" s="979"/>
      <c r="E67" s="979"/>
      <c r="F67" s="979"/>
      <c r="G67" s="979"/>
      <c r="H67" s="979"/>
      <c r="I67" s="979"/>
      <c r="J67" s="979"/>
      <c r="K67" s="979"/>
    </row>
    <row r="68" spans="1:11" s="620" customFormat="1" ht="33">
      <c r="A68" s="65"/>
      <c r="B68" s="65"/>
      <c r="C68" s="65"/>
      <c r="D68" s="65"/>
      <c r="E68" s="65"/>
      <c r="F68" s="65"/>
      <c r="G68" s="68"/>
      <c r="H68" s="68"/>
      <c r="I68" s="68"/>
      <c r="J68" s="68"/>
      <c r="K68" s="68"/>
    </row>
    <row r="69" spans="1:11" ht="20.100000000000001" customHeight="1">
      <c r="A69" s="65"/>
      <c r="B69" s="65"/>
      <c r="C69" s="65"/>
      <c r="D69" s="65"/>
      <c r="E69" s="65"/>
      <c r="F69" s="65"/>
      <c r="G69" s="68"/>
      <c r="H69" s="68"/>
      <c r="I69" s="68"/>
      <c r="J69" s="68"/>
      <c r="K69" s="68"/>
    </row>
    <row r="70" spans="1:11" ht="20.100000000000001" customHeight="1">
      <c r="A70" s="979"/>
      <c r="B70" s="979"/>
      <c r="C70" s="979"/>
      <c r="D70" s="979"/>
      <c r="E70" s="979"/>
      <c r="F70" s="979"/>
      <c r="G70" s="979"/>
      <c r="H70" s="979"/>
      <c r="I70" s="979"/>
      <c r="J70" s="979"/>
      <c r="K70" s="979"/>
    </row>
    <row r="71" spans="1:11" ht="45.75" customHeight="1">
      <c r="A71" s="1029" t="s">
        <v>2492</v>
      </c>
      <c r="B71" s="1030"/>
      <c r="C71" s="1030"/>
      <c r="D71" s="1030"/>
      <c r="E71" s="1030"/>
      <c r="F71" s="1030"/>
      <c r="G71" s="1030"/>
      <c r="H71" s="1030"/>
      <c r="I71" s="1030"/>
      <c r="J71" s="1030"/>
      <c r="K71" s="1030"/>
    </row>
    <row r="72" spans="1:11" s="904" customFormat="1" ht="63.75" customHeight="1">
      <c r="A72" s="1094" t="s">
        <v>183</v>
      </c>
      <c r="B72" s="1094" t="s">
        <v>209</v>
      </c>
      <c r="C72" s="886"/>
      <c r="D72" s="886"/>
      <c r="E72" s="886"/>
      <c r="F72" s="887"/>
      <c r="G72" s="1078" t="s">
        <v>440</v>
      </c>
      <c r="H72" s="1080" t="s">
        <v>16</v>
      </c>
      <c r="I72" s="1082" t="s">
        <v>1490</v>
      </c>
      <c r="J72" s="1082" t="s">
        <v>2507</v>
      </c>
      <c r="K72" s="1089" t="s">
        <v>200</v>
      </c>
    </row>
    <row r="73" spans="1:11" s="904" customFormat="1" ht="69" customHeight="1">
      <c r="A73" s="1095"/>
      <c r="B73" s="1095"/>
      <c r="C73" s="888"/>
      <c r="D73" s="888"/>
      <c r="E73" s="888"/>
      <c r="F73" s="889"/>
      <c r="G73" s="1079"/>
      <c r="H73" s="1081"/>
      <c r="I73" s="1082"/>
      <c r="J73" s="1082"/>
      <c r="K73" s="1090"/>
    </row>
    <row r="74" spans="1:11" s="872" customFormat="1" ht="64.5" customHeight="1">
      <c r="A74" s="890"/>
      <c r="B74" s="1086" t="s">
        <v>1633</v>
      </c>
      <c r="C74" s="1087"/>
      <c r="D74" s="1087"/>
      <c r="E74" s="1087"/>
      <c r="F74" s="1088"/>
      <c r="G74" s="891"/>
      <c r="H74" s="892"/>
      <c r="I74" s="871">
        <f>SUM(I75:I78)</f>
        <v>229105.19999999998</v>
      </c>
      <c r="J74" s="871">
        <f>SUM(J75:J78)</f>
        <v>152736.79999999999</v>
      </c>
      <c r="K74" s="871">
        <f t="shared" ref="K74:K123" si="1">I74+J74</f>
        <v>381842</v>
      </c>
    </row>
    <row r="75" spans="1:11" s="874" customFormat="1" ht="64.5" customHeight="1">
      <c r="A75" s="893" t="s">
        <v>2275</v>
      </c>
      <c r="B75" s="1083" t="s">
        <v>2212</v>
      </c>
      <c r="C75" s="1084"/>
      <c r="D75" s="1084"/>
      <c r="E75" s="1084"/>
      <c r="F75" s="1085"/>
      <c r="G75" s="894">
        <v>8100</v>
      </c>
      <c r="H75" s="895">
        <v>169711</v>
      </c>
      <c r="I75" s="873">
        <f>I352</f>
        <v>23547</v>
      </c>
      <c r="J75" s="873">
        <f>J352</f>
        <v>15698</v>
      </c>
      <c r="K75" s="873">
        <f t="shared" si="1"/>
        <v>39245</v>
      </c>
    </row>
    <row r="76" spans="1:11" s="874" customFormat="1" ht="64.5" customHeight="1">
      <c r="A76" s="893" t="s">
        <v>2204</v>
      </c>
      <c r="B76" s="1083" t="s">
        <v>2205</v>
      </c>
      <c r="C76" s="1084"/>
      <c r="D76" s="1084"/>
      <c r="E76" s="1084"/>
      <c r="F76" s="1085"/>
      <c r="G76" s="894">
        <v>8100</v>
      </c>
      <c r="H76" s="895">
        <v>169711</v>
      </c>
      <c r="I76" s="873">
        <f>I354</f>
        <v>196858.19999999998</v>
      </c>
      <c r="J76" s="873">
        <f>J354</f>
        <v>131238.79999999999</v>
      </c>
      <c r="K76" s="873">
        <f t="shared" si="1"/>
        <v>328097</v>
      </c>
    </row>
    <row r="77" spans="1:11" s="874" customFormat="1" ht="64.5" customHeight="1">
      <c r="A77" s="893" t="s">
        <v>193</v>
      </c>
      <c r="B77" s="1083" t="s">
        <v>1476</v>
      </c>
      <c r="C77" s="1084"/>
      <c r="D77" s="1084"/>
      <c r="E77" s="1084"/>
      <c r="F77" s="1085"/>
      <c r="G77" s="894">
        <v>8100</v>
      </c>
      <c r="H77" s="896" t="s">
        <v>2445</v>
      </c>
      <c r="I77" s="873">
        <f>I365</f>
        <v>2700</v>
      </c>
      <c r="J77" s="873">
        <f>J365</f>
        <v>1800</v>
      </c>
      <c r="K77" s="873">
        <f t="shared" si="1"/>
        <v>4500</v>
      </c>
    </row>
    <row r="78" spans="1:11" s="874" customFormat="1" ht="64.5" customHeight="1">
      <c r="A78" s="893" t="s">
        <v>244</v>
      </c>
      <c r="B78" s="1083" t="s">
        <v>266</v>
      </c>
      <c r="C78" s="1084"/>
      <c r="D78" s="1084"/>
      <c r="E78" s="1084"/>
      <c r="F78" s="1085"/>
      <c r="G78" s="894">
        <v>8100</v>
      </c>
      <c r="H78" s="895">
        <v>169711</v>
      </c>
      <c r="I78" s="873">
        <f>I367</f>
        <v>6000</v>
      </c>
      <c r="J78" s="873">
        <f>J367</f>
        <v>4000</v>
      </c>
      <c r="K78" s="873">
        <f t="shared" si="1"/>
        <v>10000</v>
      </c>
    </row>
    <row r="79" spans="1:11" s="872" customFormat="1" ht="64.5" customHeight="1">
      <c r="A79" s="890"/>
      <c r="B79" s="1086" t="s">
        <v>1563</v>
      </c>
      <c r="C79" s="1087"/>
      <c r="D79" s="1087"/>
      <c r="E79" s="1087"/>
      <c r="F79" s="1088"/>
      <c r="G79" s="891"/>
      <c r="H79" s="892"/>
      <c r="I79" s="871">
        <f>SUM(I80:I82)</f>
        <v>99103.8</v>
      </c>
      <c r="J79" s="871">
        <f>SUM(J80:J82)</f>
        <v>66069.2</v>
      </c>
      <c r="K79" s="871">
        <f t="shared" si="1"/>
        <v>165173</v>
      </c>
    </row>
    <row r="80" spans="1:11" s="874" customFormat="1" ht="64.5" customHeight="1">
      <c r="A80" s="893" t="s">
        <v>2204</v>
      </c>
      <c r="B80" s="1083" t="s">
        <v>2205</v>
      </c>
      <c r="C80" s="1084"/>
      <c r="D80" s="1084"/>
      <c r="E80" s="1084"/>
      <c r="F80" s="1085"/>
      <c r="G80" s="894">
        <v>8100</v>
      </c>
      <c r="H80" s="895">
        <v>169711</v>
      </c>
      <c r="I80" s="873">
        <f>I383</f>
        <v>85878</v>
      </c>
      <c r="J80" s="873">
        <f>J383</f>
        <v>57252</v>
      </c>
      <c r="K80" s="873">
        <f t="shared" si="1"/>
        <v>143130</v>
      </c>
    </row>
    <row r="81" spans="1:11" s="874" customFormat="1" ht="64.5" customHeight="1">
      <c r="A81" s="893" t="s">
        <v>193</v>
      </c>
      <c r="B81" s="1083" t="s">
        <v>1476</v>
      </c>
      <c r="C81" s="1084"/>
      <c r="D81" s="1084"/>
      <c r="E81" s="1084"/>
      <c r="F81" s="1085"/>
      <c r="G81" s="894">
        <v>8100</v>
      </c>
      <c r="H81" s="896" t="s">
        <v>2445</v>
      </c>
      <c r="I81" s="873">
        <f>I389</f>
        <v>8100</v>
      </c>
      <c r="J81" s="873">
        <f>J389</f>
        <v>5400</v>
      </c>
      <c r="K81" s="873">
        <f t="shared" si="1"/>
        <v>13500</v>
      </c>
    </row>
    <row r="82" spans="1:11" s="874" customFormat="1" ht="64.5" customHeight="1">
      <c r="A82" s="893" t="s">
        <v>244</v>
      </c>
      <c r="B82" s="1083" t="s">
        <v>266</v>
      </c>
      <c r="C82" s="1084"/>
      <c r="D82" s="1084"/>
      <c r="E82" s="1084"/>
      <c r="F82" s="1085"/>
      <c r="G82" s="894">
        <v>8100</v>
      </c>
      <c r="H82" s="895">
        <v>169711</v>
      </c>
      <c r="I82" s="873">
        <f>I391</f>
        <v>5125.8</v>
      </c>
      <c r="J82" s="873">
        <f>J391</f>
        <v>3417.2000000000003</v>
      </c>
      <c r="K82" s="873">
        <f t="shared" si="1"/>
        <v>8543</v>
      </c>
    </row>
    <row r="83" spans="1:11" s="872" customFormat="1" ht="64.5" customHeight="1">
      <c r="A83" s="890"/>
      <c r="B83" s="1086" t="s">
        <v>1514</v>
      </c>
      <c r="C83" s="1087"/>
      <c r="D83" s="1087"/>
      <c r="E83" s="1087"/>
      <c r="F83" s="1088"/>
      <c r="G83" s="891"/>
      <c r="H83" s="892"/>
      <c r="I83" s="871">
        <f>SUM(I84:I87)</f>
        <v>458095.80000000005</v>
      </c>
      <c r="J83" s="871">
        <f>SUM(J84:J87)</f>
        <v>305397.2</v>
      </c>
      <c r="K83" s="871">
        <f t="shared" si="1"/>
        <v>763493</v>
      </c>
    </row>
    <row r="84" spans="1:11" s="874" customFormat="1" ht="64.5" customHeight="1">
      <c r="A84" s="893" t="s">
        <v>2275</v>
      </c>
      <c r="B84" s="1083" t="s">
        <v>2212</v>
      </c>
      <c r="C84" s="1084"/>
      <c r="D84" s="1084"/>
      <c r="E84" s="1084"/>
      <c r="F84" s="1085"/>
      <c r="G84" s="894">
        <v>8100</v>
      </c>
      <c r="H84" s="895">
        <v>169711</v>
      </c>
      <c r="I84" s="873">
        <f>I398</f>
        <v>20635.2</v>
      </c>
      <c r="J84" s="873">
        <f>J398</f>
        <v>13756.800000000001</v>
      </c>
      <c r="K84" s="873">
        <f t="shared" si="1"/>
        <v>34392</v>
      </c>
    </row>
    <row r="85" spans="1:11" s="874" customFormat="1" ht="64.5" customHeight="1">
      <c r="A85" s="893" t="s">
        <v>2204</v>
      </c>
      <c r="B85" s="1083" t="s">
        <v>2205</v>
      </c>
      <c r="C85" s="1084"/>
      <c r="D85" s="1084"/>
      <c r="E85" s="1084"/>
      <c r="F85" s="1085"/>
      <c r="G85" s="894">
        <v>8100</v>
      </c>
      <c r="H85" s="895">
        <v>169711</v>
      </c>
      <c r="I85" s="873">
        <f>I400</f>
        <v>412860.60000000003</v>
      </c>
      <c r="J85" s="873">
        <f>J400</f>
        <v>275240.40000000002</v>
      </c>
      <c r="K85" s="873">
        <f t="shared" si="1"/>
        <v>688101</v>
      </c>
    </row>
    <row r="86" spans="1:11" s="874" customFormat="1" ht="64.5" customHeight="1">
      <c r="A86" s="893" t="s">
        <v>193</v>
      </c>
      <c r="B86" s="1083" t="s">
        <v>1476</v>
      </c>
      <c r="C86" s="1084"/>
      <c r="D86" s="1084"/>
      <c r="E86" s="1084"/>
      <c r="F86" s="1085"/>
      <c r="G86" s="894">
        <v>8100</v>
      </c>
      <c r="H86" s="896" t="s">
        <v>2445</v>
      </c>
      <c r="I86" s="873">
        <f>I404</f>
        <v>6600</v>
      </c>
      <c r="J86" s="873">
        <f>J404</f>
        <v>4400</v>
      </c>
      <c r="K86" s="873">
        <f t="shared" si="1"/>
        <v>11000</v>
      </c>
    </row>
    <row r="87" spans="1:11" s="874" customFormat="1" ht="64.5" customHeight="1">
      <c r="A87" s="893" t="s">
        <v>244</v>
      </c>
      <c r="B87" s="1083" t="s">
        <v>266</v>
      </c>
      <c r="C87" s="1084"/>
      <c r="D87" s="1084"/>
      <c r="E87" s="1084"/>
      <c r="F87" s="1085"/>
      <c r="G87" s="894">
        <v>8100</v>
      </c>
      <c r="H87" s="895">
        <v>169711</v>
      </c>
      <c r="I87" s="873">
        <f>I406</f>
        <v>18000</v>
      </c>
      <c r="J87" s="873">
        <f>J406</f>
        <v>12000</v>
      </c>
      <c r="K87" s="873">
        <f t="shared" si="1"/>
        <v>30000</v>
      </c>
    </row>
    <row r="88" spans="1:11" s="872" customFormat="1" ht="64.5" customHeight="1">
      <c r="A88" s="890"/>
      <c r="B88" s="1086" t="s">
        <v>1665</v>
      </c>
      <c r="C88" s="1087"/>
      <c r="D88" s="1087"/>
      <c r="E88" s="1087"/>
      <c r="F88" s="1088"/>
      <c r="G88" s="891"/>
      <c r="H88" s="892"/>
      <c r="I88" s="871">
        <f>SUM(I89:I92)</f>
        <v>458956.2</v>
      </c>
      <c r="J88" s="871">
        <f>SUM(J89:J92)</f>
        <v>305970.8</v>
      </c>
      <c r="K88" s="871">
        <f t="shared" si="1"/>
        <v>764927</v>
      </c>
    </row>
    <row r="89" spans="1:11" s="874" customFormat="1" ht="64.5" customHeight="1">
      <c r="A89" s="893" t="s">
        <v>2275</v>
      </c>
      <c r="B89" s="1083" t="s">
        <v>2212</v>
      </c>
      <c r="C89" s="1084"/>
      <c r="D89" s="1084"/>
      <c r="E89" s="1084"/>
      <c r="F89" s="1085"/>
      <c r="G89" s="894">
        <v>8100</v>
      </c>
      <c r="H89" s="895">
        <v>169711</v>
      </c>
      <c r="I89" s="873">
        <f>I421</f>
        <v>39048.6</v>
      </c>
      <c r="J89" s="873">
        <f>J421</f>
        <v>26032.399999999998</v>
      </c>
      <c r="K89" s="873">
        <f t="shared" si="1"/>
        <v>65081</v>
      </c>
    </row>
    <row r="90" spans="1:11" s="874" customFormat="1" ht="64.5" customHeight="1">
      <c r="A90" s="893" t="s">
        <v>2204</v>
      </c>
      <c r="B90" s="1083" t="s">
        <v>2205</v>
      </c>
      <c r="C90" s="1084"/>
      <c r="D90" s="1084"/>
      <c r="E90" s="1084"/>
      <c r="F90" s="1085"/>
      <c r="G90" s="894">
        <v>8100</v>
      </c>
      <c r="H90" s="895">
        <v>169711</v>
      </c>
      <c r="I90" s="873">
        <f>I423</f>
        <v>380117.4</v>
      </c>
      <c r="J90" s="873">
        <f>J423</f>
        <v>253411.6</v>
      </c>
      <c r="K90" s="873">
        <f t="shared" si="1"/>
        <v>633529</v>
      </c>
    </row>
    <row r="91" spans="1:11" s="874" customFormat="1" ht="64.5" customHeight="1">
      <c r="A91" s="893" t="s">
        <v>193</v>
      </c>
      <c r="B91" s="1083" t="s">
        <v>1476</v>
      </c>
      <c r="C91" s="1084"/>
      <c r="D91" s="1084"/>
      <c r="E91" s="1084"/>
      <c r="F91" s="1085"/>
      <c r="G91" s="894">
        <v>8100</v>
      </c>
      <c r="H91" s="896" t="s">
        <v>2445</v>
      </c>
      <c r="I91" s="873">
        <f>I434</f>
        <v>9000</v>
      </c>
      <c r="J91" s="873">
        <f>J434</f>
        <v>6000</v>
      </c>
      <c r="K91" s="873">
        <f t="shared" si="1"/>
        <v>15000</v>
      </c>
    </row>
    <row r="92" spans="1:11" s="874" customFormat="1" ht="64.5" customHeight="1">
      <c r="A92" s="893" t="s">
        <v>244</v>
      </c>
      <c r="B92" s="1083" t="s">
        <v>266</v>
      </c>
      <c r="C92" s="1084"/>
      <c r="D92" s="1084"/>
      <c r="E92" s="1084"/>
      <c r="F92" s="1085"/>
      <c r="G92" s="894">
        <v>8100</v>
      </c>
      <c r="H92" s="895">
        <v>169711</v>
      </c>
      <c r="I92" s="873">
        <f>I436</f>
        <v>30790.2</v>
      </c>
      <c r="J92" s="873">
        <f>J436</f>
        <v>20526.8</v>
      </c>
      <c r="K92" s="873">
        <f t="shared" si="1"/>
        <v>51317</v>
      </c>
    </row>
    <row r="93" spans="1:11" s="872" customFormat="1" ht="64.5" customHeight="1">
      <c r="A93" s="890"/>
      <c r="B93" s="1086" t="s">
        <v>1618</v>
      </c>
      <c r="C93" s="1087"/>
      <c r="D93" s="1087"/>
      <c r="E93" s="1087"/>
      <c r="F93" s="1088"/>
      <c r="G93" s="891"/>
      <c r="H93" s="892"/>
      <c r="I93" s="871">
        <f>SUM(I94:I96)</f>
        <v>217060.8</v>
      </c>
      <c r="J93" s="871">
        <f>SUM(J94:J96)</f>
        <v>144707.20000000001</v>
      </c>
      <c r="K93" s="871">
        <f t="shared" si="1"/>
        <v>361768</v>
      </c>
    </row>
    <row r="94" spans="1:11" s="874" customFormat="1" ht="64.5" customHeight="1">
      <c r="A94" s="893" t="s">
        <v>2204</v>
      </c>
      <c r="B94" s="1083" t="s">
        <v>2205</v>
      </c>
      <c r="C94" s="1084"/>
      <c r="D94" s="1084"/>
      <c r="E94" s="1084"/>
      <c r="F94" s="1085"/>
      <c r="G94" s="894">
        <v>8100</v>
      </c>
      <c r="H94" s="895">
        <v>169711</v>
      </c>
      <c r="I94" s="873">
        <f>I454</f>
        <v>210460.79999999999</v>
      </c>
      <c r="J94" s="873">
        <f>J454</f>
        <v>140307.20000000001</v>
      </c>
      <c r="K94" s="873">
        <f t="shared" si="1"/>
        <v>350768</v>
      </c>
    </row>
    <row r="95" spans="1:11" s="874" customFormat="1" ht="64.5" customHeight="1">
      <c r="A95" s="893" t="s">
        <v>193</v>
      </c>
      <c r="B95" s="1083" t="s">
        <v>1476</v>
      </c>
      <c r="C95" s="1084"/>
      <c r="D95" s="1084"/>
      <c r="E95" s="1084"/>
      <c r="F95" s="1085"/>
      <c r="G95" s="894">
        <v>8100</v>
      </c>
      <c r="H95" s="896" t="s">
        <v>2445</v>
      </c>
      <c r="I95" s="873">
        <f>I460</f>
        <v>3600</v>
      </c>
      <c r="J95" s="873">
        <f>J460</f>
        <v>2400</v>
      </c>
      <c r="K95" s="873">
        <f t="shared" si="1"/>
        <v>6000</v>
      </c>
    </row>
    <row r="96" spans="1:11" s="874" customFormat="1" ht="64.5" customHeight="1">
      <c r="A96" s="893" t="s">
        <v>244</v>
      </c>
      <c r="B96" s="1083" t="s">
        <v>266</v>
      </c>
      <c r="C96" s="1084"/>
      <c r="D96" s="1084"/>
      <c r="E96" s="1084"/>
      <c r="F96" s="1085"/>
      <c r="G96" s="894">
        <v>8100</v>
      </c>
      <c r="H96" s="895">
        <v>169711</v>
      </c>
      <c r="I96" s="873">
        <f>I462</f>
        <v>3000</v>
      </c>
      <c r="J96" s="873">
        <f>J462</f>
        <v>2000</v>
      </c>
      <c r="K96" s="873">
        <f t="shared" si="1"/>
        <v>5000</v>
      </c>
    </row>
    <row r="97" spans="1:11" s="872" customFormat="1" ht="64.5" customHeight="1">
      <c r="A97" s="890"/>
      <c r="B97" s="1086" t="s">
        <v>1530</v>
      </c>
      <c r="C97" s="1087"/>
      <c r="D97" s="1087"/>
      <c r="E97" s="1087"/>
      <c r="F97" s="1088"/>
      <c r="G97" s="891"/>
      <c r="H97" s="892"/>
      <c r="I97" s="871">
        <f>SUM(I98:I99)</f>
        <v>567863.4</v>
      </c>
      <c r="J97" s="871">
        <f>SUM(J98:J99)</f>
        <v>378575.6</v>
      </c>
      <c r="K97" s="871">
        <f t="shared" si="1"/>
        <v>946439</v>
      </c>
    </row>
    <row r="98" spans="1:11" s="874" customFormat="1" ht="64.5" customHeight="1">
      <c r="A98" s="893" t="s">
        <v>2275</v>
      </c>
      <c r="B98" s="1083" t="s">
        <v>2212</v>
      </c>
      <c r="C98" s="1084"/>
      <c r="D98" s="1084"/>
      <c r="E98" s="1084"/>
      <c r="F98" s="1085"/>
      <c r="G98" s="894">
        <v>8100</v>
      </c>
      <c r="H98" s="895">
        <v>169711</v>
      </c>
      <c r="I98" s="873">
        <f>I468</f>
        <v>72000</v>
      </c>
      <c r="J98" s="873">
        <f>J468</f>
        <v>48000</v>
      </c>
      <c r="K98" s="873">
        <f t="shared" si="1"/>
        <v>120000</v>
      </c>
    </row>
    <row r="99" spans="1:11" s="874" customFormat="1" ht="64.5" customHeight="1">
      <c r="A99" s="893" t="s">
        <v>2204</v>
      </c>
      <c r="B99" s="1083" t="s">
        <v>2205</v>
      </c>
      <c r="C99" s="1084"/>
      <c r="D99" s="1084"/>
      <c r="E99" s="1084"/>
      <c r="F99" s="1085"/>
      <c r="G99" s="894">
        <v>8100</v>
      </c>
      <c r="H99" s="895">
        <v>169711</v>
      </c>
      <c r="I99" s="873">
        <f>I470</f>
        <v>495863.4</v>
      </c>
      <c r="J99" s="873">
        <f>J470</f>
        <v>330575.59999999998</v>
      </c>
      <c r="K99" s="873">
        <f t="shared" si="1"/>
        <v>826439</v>
      </c>
    </row>
    <row r="100" spans="1:11" s="872" customFormat="1" ht="64.5" customHeight="1">
      <c r="A100" s="890"/>
      <c r="B100" s="1086" t="s">
        <v>1571</v>
      </c>
      <c r="C100" s="1087"/>
      <c r="D100" s="1087"/>
      <c r="E100" s="1087"/>
      <c r="F100" s="1088"/>
      <c r="G100" s="891"/>
      <c r="H100" s="892"/>
      <c r="I100" s="871">
        <f>SUM(I101:I104)</f>
        <v>312034.8</v>
      </c>
      <c r="J100" s="871">
        <f>SUM(J101:J104)</f>
        <v>208023.19999999998</v>
      </c>
      <c r="K100" s="871">
        <f t="shared" si="1"/>
        <v>520058</v>
      </c>
    </row>
    <row r="101" spans="1:11" s="874" customFormat="1" ht="64.5" customHeight="1">
      <c r="A101" s="893" t="s">
        <v>2275</v>
      </c>
      <c r="B101" s="1083" t="s">
        <v>2212</v>
      </c>
      <c r="C101" s="1084"/>
      <c r="D101" s="1084"/>
      <c r="E101" s="1084"/>
      <c r="F101" s="1085"/>
      <c r="G101" s="894">
        <v>8100</v>
      </c>
      <c r="H101" s="895">
        <v>169711</v>
      </c>
      <c r="I101" s="873">
        <f>I488</f>
        <v>41682</v>
      </c>
      <c r="J101" s="873">
        <f>J488</f>
        <v>27788</v>
      </c>
      <c r="K101" s="873">
        <f t="shared" si="1"/>
        <v>69470</v>
      </c>
    </row>
    <row r="102" spans="1:11" s="874" customFormat="1" ht="64.5" customHeight="1">
      <c r="A102" s="893" t="s">
        <v>2204</v>
      </c>
      <c r="B102" s="1083" t="s">
        <v>2205</v>
      </c>
      <c r="C102" s="1084"/>
      <c r="D102" s="1084"/>
      <c r="E102" s="1084"/>
      <c r="F102" s="1085"/>
      <c r="G102" s="894">
        <v>8100</v>
      </c>
      <c r="H102" s="895">
        <v>169711</v>
      </c>
      <c r="I102" s="873">
        <f>I490</f>
        <v>238125.59999999998</v>
      </c>
      <c r="J102" s="873">
        <f>J490</f>
        <v>158750.39999999999</v>
      </c>
      <c r="K102" s="873">
        <f t="shared" si="1"/>
        <v>396876</v>
      </c>
    </row>
    <row r="103" spans="1:11" s="874" customFormat="1" ht="64.5" customHeight="1">
      <c r="A103" s="893" t="s">
        <v>193</v>
      </c>
      <c r="B103" s="1083" t="s">
        <v>1476</v>
      </c>
      <c r="C103" s="1084"/>
      <c r="D103" s="1084"/>
      <c r="E103" s="1084"/>
      <c r="F103" s="1085"/>
      <c r="G103" s="894">
        <v>8100</v>
      </c>
      <c r="H103" s="896" t="s">
        <v>2445</v>
      </c>
      <c r="I103" s="873">
        <f>I501</f>
        <v>9600</v>
      </c>
      <c r="J103" s="873">
        <f>J501</f>
        <v>6400</v>
      </c>
      <c r="K103" s="873">
        <f t="shared" si="1"/>
        <v>16000</v>
      </c>
    </row>
    <row r="104" spans="1:11" s="874" customFormat="1" ht="64.5" customHeight="1">
      <c r="A104" s="893" t="s">
        <v>244</v>
      </c>
      <c r="B104" s="1083" t="s">
        <v>266</v>
      </c>
      <c r="C104" s="1084"/>
      <c r="D104" s="1084"/>
      <c r="E104" s="1084"/>
      <c r="F104" s="1085"/>
      <c r="G104" s="894">
        <v>8100</v>
      </c>
      <c r="H104" s="895">
        <v>169711</v>
      </c>
      <c r="I104" s="873">
        <f>I503</f>
        <v>22627.200000000001</v>
      </c>
      <c r="J104" s="873">
        <f>J503</f>
        <v>15084.8</v>
      </c>
      <c r="K104" s="873">
        <f t="shared" si="1"/>
        <v>37712</v>
      </c>
    </row>
    <row r="105" spans="1:11" s="872" customFormat="1" ht="64.5" customHeight="1">
      <c r="A105" s="890"/>
      <c r="B105" s="1086" t="s">
        <v>1564</v>
      </c>
      <c r="C105" s="1087"/>
      <c r="D105" s="1087"/>
      <c r="E105" s="1087"/>
      <c r="F105" s="1088"/>
      <c r="G105" s="891"/>
      <c r="H105" s="892"/>
      <c r="I105" s="871">
        <f>SUM(I106:I107)</f>
        <v>260177.4</v>
      </c>
      <c r="J105" s="871">
        <f>SUM(J106:J107)</f>
        <v>173451.6</v>
      </c>
      <c r="K105" s="871">
        <f t="shared" si="1"/>
        <v>433629</v>
      </c>
    </row>
    <row r="106" spans="1:11" s="874" customFormat="1" ht="64.5" customHeight="1">
      <c r="A106" s="893" t="s">
        <v>2204</v>
      </c>
      <c r="B106" s="1083" t="s">
        <v>2205</v>
      </c>
      <c r="C106" s="1084"/>
      <c r="D106" s="1084"/>
      <c r="E106" s="1084"/>
      <c r="F106" s="1085"/>
      <c r="G106" s="894">
        <v>8100</v>
      </c>
      <c r="H106" s="895">
        <v>169711</v>
      </c>
      <c r="I106" s="873">
        <f>I521</f>
        <v>236177.4</v>
      </c>
      <c r="J106" s="873">
        <f>J521</f>
        <v>157451.6</v>
      </c>
      <c r="K106" s="873">
        <f t="shared" si="1"/>
        <v>393629</v>
      </c>
    </row>
    <row r="107" spans="1:11" s="874" customFormat="1" ht="64.5" customHeight="1">
      <c r="A107" s="893" t="s">
        <v>244</v>
      </c>
      <c r="B107" s="1083" t="s">
        <v>266</v>
      </c>
      <c r="C107" s="1084"/>
      <c r="D107" s="1084"/>
      <c r="E107" s="1084"/>
      <c r="F107" s="1085"/>
      <c r="G107" s="894">
        <v>8100</v>
      </c>
      <c r="H107" s="895">
        <v>169711</v>
      </c>
      <c r="I107" s="873">
        <f>I525</f>
        <v>24000</v>
      </c>
      <c r="J107" s="873">
        <f>J525</f>
        <v>16000</v>
      </c>
      <c r="K107" s="873">
        <f t="shared" si="1"/>
        <v>40000</v>
      </c>
    </row>
    <row r="108" spans="1:11" s="872" customFormat="1" ht="64.5" customHeight="1">
      <c r="A108" s="890"/>
      <c r="B108" s="1086" t="s">
        <v>1930</v>
      </c>
      <c r="C108" s="1087"/>
      <c r="D108" s="1087"/>
      <c r="E108" s="1087"/>
      <c r="F108" s="1088"/>
      <c r="G108" s="891"/>
      <c r="H108" s="892"/>
      <c r="I108" s="871">
        <f>SUM(I109:I110)</f>
        <v>68421.600000000006</v>
      </c>
      <c r="J108" s="871">
        <f>SUM(J109:J110)</f>
        <v>45614.400000000001</v>
      </c>
      <c r="K108" s="871">
        <f t="shared" si="1"/>
        <v>114036</v>
      </c>
    </row>
    <row r="109" spans="1:11" s="874" customFormat="1" ht="64.5" customHeight="1">
      <c r="A109" s="893" t="s">
        <v>2204</v>
      </c>
      <c r="B109" s="1083" t="s">
        <v>2205</v>
      </c>
      <c r="C109" s="1084"/>
      <c r="D109" s="1084"/>
      <c r="E109" s="1084"/>
      <c r="F109" s="1085"/>
      <c r="G109" s="894">
        <v>8100</v>
      </c>
      <c r="H109" s="895">
        <v>169711</v>
      </c>
      <c r="I109" s="873">
        <f>I708</f>
        <v>51321.599999999999</v>
      </c>
      <c r="J109" s="873">
        <f>J708</f>
        <v>34214.400000000001</v>
      </c>
      <c r="K109" s="873">
        <f t="shared" si="1"/>
        <v>85536</v>
      </c>
    </row>
    <row r="110" spans="1:11" s="874" customFormat="1" ht="64.5" customHeight="1">
      <c r="A110" s="893" t="s">
        <v>244</v>
      </c>
      <c r="B110" s="1083" t="s">
        <v>266</v>
      </c>
      <c r="C110" s="1084"/>
      <c r="D110" s="1084"/>
      <c r="E110" s="1084"/>
      <c r="F110" s="1085"/>
      <c r="G110" s="894">
        <v>8100</v>
      </c>
      <c r="H110" s="895">
        <v>169711</v>
      </c>
      <c r="I110" s="873">
        <f>I713</f>
        <v>17100</v>
      </c>
      <c r="J110" s="873">
        <f>J713</f>
        <v>11400</v>
      </c>
      <c r="K110" s="873">
        <f t="shared" si="1"/>
        <v>28500</v>
      </c>
    </row>
    <row r="111" spans="1:11" s="872" customFormat="1" ht="64.5" customHeight="1">
      <c r="A111" s="890"/>
      <c r="B111" s="1086" t="s">
        <v>1948</v>
      </c>
      <c r="C111" s="1087"/>
      <c r="D111" s="1087"/>
      <c r="E111" s="1087"/>
      <c r="F111" s="1088"/>
      <c r="G111" s="891"/>
      <c r="H111" s="892"/>
      <c r="I111" s="871">
        <f>SUM(I112:I113)</f>
        <v>61584.000000000007</v>
      </c>
      <c r="J111" s="871">
        <f>SUM(J112:J113)</f>
        <v>41056</v>
      </c>
      <c r="K111" s="871">
        <f t="shared" si="1"/>
        <v>102640</v>
      </c>
    </row>
    <row r="112" spans="1:11" s="874" customFormat="1" ht="64.5" customHeight="1">
      <c r="A112" s="893" t="s">
        <v>2204</v>
      </c>
      <c r="B112" s="1083" t="s">
        <v>2205</v>
      </c>
      <c r="C112" s="1084"/>
      <c r="D112" s="1084"/>
      <c r="E112" s="1084"/>
      <c r="F112" s="1085"/>
      <c r="G112" s="894">
        <v>8100</v>
      </c>
      <c r="H112" s="895">
        <v>169711</v>
      </c>
      <c r="I112" s="873">
        <f>I720</f>
        <v>55449.600000000006</v>
      </c>
      <c r="J112" s="873">
        <f>J720</f>
        <v>36966.400000000001</v>
      </c>
      <c r="K112" s="873">
        <f t="shared" si="1"/>
        <v>92416</v>
      </c>
    </row>
    <row r="113" spans="1:11" s="874" customFormat="1" ht="64.5" customHeight="1">
      <c r="A113" s="893" t="s">
        <v>244</v>
      </c>
      <c r="B113" s="1083" t="s">
        <v>266</v>
      </c>
      <c r="C113" s="1084"/>
      <c r="D113" s="1084"/>
      <c r="E113" s="1084"/>
      <c r="F113" s="1085"/>
      <c r="G113" s="894">
        <v>8100</v>
      </c>
      <c r="H113" s="895">
        <v>169711</v>
      </c>
      <c r="I113" s="873">
        <f>I724</f>
        <v>6134.4</v>
      </c>
      <c r="J113" s="873">
        <f>J724</f>
        <v>4089.6</v>
      </c>
      <c r="K113" s="873">
        <f t="shared" si="1"/>
        <v>10224</v>
      </c>
    </row>
    <row r="114" spans="1:11" s="872" customFormat="1" ht="64.5" customHeight="1">
      <c r="A114" s="890"/>
      <c r="B114" s="1086" t="s">
        <v>1710</v>
      </c>
      <c r="C114" s="1087"/>
      <c r="D114" s="1087"/>
      <c r="E114" s="1087"/>
      <c r="F114" s="1088"/>
      <c r="G114" s="891"/>
      <c r="H114" s="892"/>
      <c r="I114" s="871">
        <f>SUM(I115:I115)</f>
        <v>167322.6</v>
      </c>
      <c r="J114" s="871">
        <f>SUM(J115:J115)</f>
        <v>111548.4</v>
      </c>
      <c r="K114" s="871">
        <f t="shared" si="1"/>
        <v>278871</v>
      </c>
    </row>
    <row r="115" spans="1:11" s="874" customFormat="1" ht="64.5" customHeight="1">
      <c r="A115" s="893" t="s">
        <v>2204</v>
      </c>
      <c r="B115" s="1083" t="s">
        <v>2205</v>
      </c>
      <c r="C115" s="1084"/>
      <c r="D115" s="1084"/>
      <c r="E115" s="1084"/>
      <c r="F115" s="1085"/>
      <c r="G115" s="894">
        <v>8100</v>
      </c>
      <c r="H115" s="895">
        <v>169711</v>
      </c>
      <c r="I115" s="873">
        <f>I531</f>
        <v>167322.6</v>
      </c>
      <c r="J115" s="873">
        <f>J531</f>
        <v>111548.4</v>
      </c>
      <c r="K115" s="873">
        <f t="shared" si="1"/>
        <v>278871</v>
      </c>
    </row>
    <row r="116" spans="1:11" s="872" customFormat="1" ht="64.5" customHeight="1">
      <c r="A116" s="890"/>
      <c r="B116" s="1086" t="s">
        <v>1879</v>
      </c>
      <c r="C116" s="1087"/>
      <c r="D116" s="1087"/>
      <c r="E116" s="1087"/>
      <c r="F116" s="1088"/>
      <c r="G116" s="891"/>
      <c r="H116" s="892"/>
      <c r="I116" s="871">
        <f>SUM(I117:I118)</f>
        <v>79675.199999999997</v>
      </c>
      <c r="J116" s="871">
        <f>SUM(J117:J118)</f>
        <v>53116.800000000003</v>
      </c>
      <c r="K116" s="871">
        <f t="shared" si="1"/>
        <v>132792</v>
      </c>
    </row>
    <row r="117" spans="1:11" s="874" customFormat="1" ht="64.5" customHeight="1">
      <c r="A117" s="893" t="s">
        <v>2204</v>
      </c>
      <c r="B117" s="1083" t="s">
        <v>2205</v>
      </c>
      <c r="C117" s="1084"/>
      <c r="D117" s="1084"/>
      <c r="E117" s="1084"/>
      <c r="F117" s="1085"/>
      <c r="G117" s="894">
        <v>8100</v>
      </c>
      <c r="H117" s="895">
        <v>169711</v>
      </c>
      <c r="I117" s="873">
        <f>I730</f>
        <v>77275.199999999997</v>
      </c>
      <c r="J117" s="873">
        <f>J730</f>
        <v>51516.800000000003</v>
      </c>
      <c r="K117" s="873">
        <f t="shared" si="1"/>
        <v>128792</v>
      </c>
    </row>
    <row r="118" spans="1:11" s="874" customFormat="1" ht="64.5" customHeight="1">
      <c r="A118" s="893" t="s">
        <v>244</v>
      </c>
      <c r="B118" s="1083" t="s">
        <v>266</v>
      </c>
      <c r="C118" s="1084"/>
      <c r="D118" s="1084"/>
      <c r="E118" s="1084"/>
      <c r="F118" s="1085"/>
      <c r="G118" s="894">
        <v>8100</v>
      </c>
      <c r="H118" s="895">
        <v>169711</v>
      </c>
      <c r="I118" s="873">
        <f>I737</f>
        <v>2400</v>
      </c>
      <c r="J118" s="873">
        <f>J737</f>
        <v>1600</v>
      </c>
      <c r="K118" s="873">
        <f t="shared" si="1"/>
        <v>4000</v>
      </c>
    </row>
    <row r="119" spans="1:11" s="872" customFormat="1" ht="64.5" customHeight="1">
      <c r="A119" s="890"/>
      <c r="B119" s="1086" t="s">
        <v>1704</v>
      </c>
      <c r="C119" s="1087"/>
      <c r="D119" s="1087"/>
      <c r="E119" s="1087"/>
      <c r="F119" s="1088"/>
      <c r="G119" s="891"/>
      <c r="H119" s="892"/>
      <c r="I119" s="871">
        <f>SUM(I120:I123)</f>
        <v>777544.2</v>
      </c>
      <c r="J119" s="871">
        <f>SUM(J120:J123)</f>
        <v>439528.8</v>
      </c>
      <c r="K119" s="871">
        <f t="shared" si="1"/>
        <v>1217073</v>
      </c>
    </row>
    <row r="120" spans="1:11" s="874" customFormat="1" ht="64.5" customHeight="1">
      <c r="A120" s="893" t="s">
        <v>2204</v>
      </c>
      <c r="B120" s="1083" t="s">
        <v>2205</v>
      </c>
      <c r="C120" s="1084"/>
      <c r="D120" s="1084"/>
      <c r="E120" s="1084"/>
      <c r="F120" s="1085"/>
      <c r="G120" s="894">
        <v>8100</v>
      </c>
      <c r="H120" s="895">
        <v>169711</v>
      </c>
      <c r="I120" s="873">
        <f>I211</f>
        <v>36306.6</v>
      </c>
      <c r="J120" s="873">
        <f>J211</f>
        <v>24204.400000000001</v>
      </c>
      <c r="K120" s="873">
        <f t="shared" si="1"/>
        <v>60511</v>
      </c>
    </row>
    <row r="121" spans="1:11" s="874" customFormat="1" ht="64.5" customHeight="1">
      <c r="A121" s="893" t="s">
        <v>196</v>
      </c>
      <c r="B121" s="1083" t="s">
        <v>2206</v>
      </c>
      <c r="C121" s="1084"/>
      <c r="D121" s="1084"/>
      <c r="E121" s="1084"/>
      <c r="F121" s="1085"/>
      <c r="G121" s="894">
        <v>8100</v>
      </c>
      <c r="H121" s="895">
        <v>169714</v>
      </c>
      <c r="I121" s="873">
        <f>I213-I122</f>
        <v>692098.4</v>
      </c>
      <c r="J121" s="873">
        <f>J213-J122</f>
        <v>401061.6</v>
      </c>
      <c r="K121" s="873">
        <f t="shared" si="1"/>
        <v>1093160</v>
      </c>
    </row>
    <row r="122" spans="1:11" s="874" customFormat="1" ht="64.5" customHeight="1">
      <c r="A122" s="893"/>
      <c r="B122" s="1083" t="s">
        <v>2463</v>
      </c>
      <c r="C122" s="1084"/>
      <c r="D122" s="1084"/>
      <c r="E122" s="1084"/>
      <c r="F122" s="1085"/>
      <c r="G122" s="894">
        <v>8100</v>
      </c>
      <c r="H122" s="895">
        <v>169714</v>
      </c>
      <c r="I122" s="873">
        <f>I218+I219</f>
        <v>27745</v>
      </c>
      <c r="J122" s="873">
        <f>J218+J219</f>
        <v>0</v>
      </c>
      <c r="K122" s="873">
        <f>I122+J122</f>
        <v>27745</v>
      </c>
    </row>
    <row r="123" spans="1:11" s="874" customFormat="1" ht="64.5" customHeight="1">
      <c r="A123" s="893" t="s">
        <v>244</v>
      </c>
      <c r="B123" s="1083" t="s">
        <v>266</v>
      </c>
      <c r="C123" s="1084"/>
      <c r="D123" s="1084"/>
      <c r="E123" s="1084"/>
      <c r="F123" s="1085"/>
      <c r="G123" s="894">
        <v>8100</v>
      </c>
      <c r="H123" s="895">
        <v>169711</v>
      </c>
      <c r="I123" s="873">
        <f>I220</f>
        <v>21394.2</v>
      </c>
      <c r="J123" s="873">
        <f>J220</f>
        <v>14262.8</v>
      </c>
      <c r="K123" s="873">
        <f t="shared" si="1"/>
        <v>35657</v>
      </c>
    </row>
    <row r="124" spans="1:11" s="874" customFormat="1" ht="42" customHeight="1">
      <c r="A124" s="905"/>
      <c r="B124" s="906"/>
      <c r="C124" s="906"/>
      <c r="D124" s="906"/>
      <c r="E124" s="906"/>
      <c r="F124" s="906"/>
      <c r="G124" s="907"/>
      <c r="H124" s="907"/>
      <c r="I124" s="908"/>
      <c r="J124" s="908"/>
      <c r="K124" s="908"/>
    </row>
    <row r="125" spans="1:11" s="874" customFormat="1" ht="42" customHeight="1">
      <c r="A125" s="905"/>
      <c r="B125" s="906"/>
      <c r="C125" s="906"/>
      <c r="D125" s="906"/>
      <c r="E125" s="906"/>
      <c r="F125" s="906"/>
      <c r="G125" s="907"/>
      <c r="H125" s="907"/>
      <c r="I125" s="908"/>
      <c r="J125" s="908"/>
      <c r="K125" s="908"/>
    </row>
    <row r="126" spans="1:11" ht="45">
      <c r="A126" s="979" t="s">
        <v>2493</v>
      </c>
      <c r="B126" s="979"/>
      <c r="C126" s="979"/>
      <c r="D126" s="979"/>
      <c r="E126" s="979"/>
      <c r="F126" s="979"/>
      <c r="G126" s="979"/>
      <c r="H126" s="979"/>
      <c r="I126" s="979"/>
      <c r="J126" s="979"/>
      <c r="K126" s="979"/>
    </row>
    <row r="127" spans="1:11" ht="45">
      <c r="A127" s="979" t="s">
        <v>52</v>
      </c>
      <c r="B127" s="979"/>
      <c r="C127" s="979"/>
      <c r="D127" s="979"/>
      <c r="E127" s="979"/>
      <c r="F127" s="979"/>
      <c r="G127" s="979"/>
      <c r="H127" s="979"/>
      <c r="I127" s="979"/>
      <c r="J127" s="979"/>
      <c r="K127" s="979"/>
    </row>
    <row r="128" spans="1:11" ht="45">
      <c r="A128" s="1040" t="s">
        <v>50</v>
      </c>
      <c r="B128" s="1040"/>
      <c r="C128" s="1040"/>
      <c r="D128" s="1040"/>
      <c r="E128" s="1040"/>
      <c r="F128" s="1040"/>
      <c r="G128" s="1040"/>
      <c r="H128" s="1040"/>
      <c r="I128" s="1040"/>
      <c r="J128" s="1040"/>
      <c r="K128" s="1040"/>
    </row>
    <row r="129" spans="1:11" ht="44.25">
      <c r="A129" s="736"/>
      <c r="B129" s="736"/>
      <c r="C129" s="736"/>
      <c r="D129" s="736"/>
      <c r="E129" s="736"/>
      <c r="F129" s="736"/>
      <c r="G129" s="838"/>
      <c r="H129" s="838"/>
      <c r="I129" s="838"/>
      <c r="J129" s="838"/>
      <c r="K129" s="838"/>
    </row>
    <row r="130" spans="1:11" ht="45">
      <c r="A130" s="979" t="s">
        <v>2214</v>
      </c>
      <c r="B130" s="979"/>
      <c r="C130" s="979"/>
      <c r="D130" s="979"/>
      <c r="E130" s="979"/>
      <c r="F130" s="979"/>
      <c r="G130" s="979"/>
      <c r="H130" s="979"/>
      <c r="I130" s="979"/>
      <c r="J130" s="979"/>
      <c r="K130" s="979"/>
    </row>
    <row r="131" spans="1:11" s="620" customFormat="1" ht="33">
      <c r="A131" s="65"/>
      <c r="B131" s="65"/>
      <c r="C131" s="65"/>
      <c r="D131" s="65"/>
      <c r="E131" s="65"/>
      <c r="F131" s="65"/>
      <c r="G131" s="68"/>
      <c r="H131" s="68"/>
      <c r="I131" s="68"/>
      <c r="J131" s="68"/>
      <c r="K131" s="68"/>
    </row>
    <row r="132" spans="1:11" ht="20.100000000000001" customHeight="1">
      <c r="A132" s="65"/>
      <c r="B132" s="65"/>
      <c r="C132" s="65"/>
      <c r="D132" s="65"/>
      <c r="E132" s="65"/>
      <c r="F132" s="65"/>
      <c r="G132" s="68"/>
      <c r="H132" s="68"/>
      <c r="I132" s="68"/>
      <c r="J132" s="68"/>
      <c r="K132" s="68"/>
    </row>
    <row r="133" spans="1:11" ht="20.100000000000001" customHeight="1">
      <c r="A133" s="979"/>
      <c r="B133" s="979"/>
      <c r="C133" s="979"/>
      <c r="D133" s="979"/>
      <c r="E133" s="979"/>
      <c r="F133" s="979"/>
      <c r="G133" s="979"/>
      <c r="H133" s="979"/>
      <c r="I133" s="979"/>
      <c r="J133" s="979"/>
      <c r="K133" s="979"/>
    </row>
    <row r="134" spans="1:11" ht="45.75" customHeight="1">
      <c r="A134" s="1029" t="s">
        <v>2492</v>
      </c>
      <c r="B134" s="1030"/>
      <c r="C134" s="1030"/>
      <c r="D134" s="1030"/>
      <c r="E134" s="1030"/>
      <c r="F134" s="1030"/>
      <c r="G134" s="1030"/>
      <c r="H134" s="1030"/>
      <c r="I134" s="1030"/>
      <c r="J134" s="1030"/>
      <c r="K134" s="1030"/>
    </row>
    <row r="135" spans="1:11" s="904" customFormat="1" ht="63.75" customHeight="1">
      <c r="A135" s="1094" t="s">
        <v>183</v>
      </c>
      <c r="B135" s="1094" t="s">
        <v>209</v>
      </c>
      <c r="C135" s="886"/>
      <c r="D135" s="886"/>
      <c r="E135" s="886"/>
      <c r="F135" s="887"/>
      <c r="G135" s="1078" t="s">
        <v>440</v>
      </c>
      <c r="H135" s="1080" t="s">
        <v>16</v>
      </c>
      <c r="I135" s="1082" t="s">
        <v>1490</v>
      </c>
      <c r="J135" s="1082" t="s">
        <v>2507</v>
      </c>
      <c r="K135" s="1089" t="s">
        <v>200</v>
      </c>
    </row>
    <row r="136" spans="1:11" s="904" customFormat="1" ht="69" customHeight="1">
      <c r="A136" s="1095"/>
      <c r="B136" s="1095"/>
      <c r="C136" s="888"/>
      <c r="D136" s="888"/>
      <c r="E136" s="888"/>
      <c r="F136" s="889"/>
      <c r="G136" s="1079"/>
      <c r="H136" s="1081"/>
      <c r="I136" s="1082"/>
      <c r="J136" s="1082"/>
      <c r="K136" s="1090"/>
    </row>
    <row r="137" spans="1:11" s="872" customFormat="1" ht="64.5" customHeight="1">
      <c r="A137" s="890"/>
      <c r="B137" s="1086" t="s">
        <v>1844</v>
      </c>
      <c r="C137" s="1087"/>
      <c r="D137" s="1087"/>
      <c r="E137" s="1087"/>
      <c r="F137" s="1088"/>
      <c r="G137" s="891"/>
      <c r="H137" s="892"/>
      <c r="I137" s="871">
        <f>SUM(I138:I141)</f>
        <v>113415.6</v>
      </c>
      <c r="J137" s="871">
        <f>SUM(J138:J141)</f>
        <v>75610.399999999994</v>
      </c>
      <c r="K137" s="871">
        <f t="shared" ref="K137:K194" si="2">I137+J137</f>
        <v>189026</v>
      </c>
    </row>
    <row r="138" spans="1:11" s="874" customFormat="1" ht="64.5" customHeight="1">
      <c r="A138" s="893" t="s">
        <v>2275</v>
      </c>
      <c r="B138" s="1083" t="s">
        <v>2212</v>
      </c>
      <c r="C138" s="1084"/>
      <c r="D138" s="1084"/>
      <c r="E138" s="1084"/>
      <c r="F138" s="1085"/>
      <c r="G138" s="894">
        <v>8100</v>
      </c>
      <c r="H138" s="895">
        <v>169711</v>
      </c>
      <c r="I138" s="873">
        <f>I553</f>
        <v>54003</v>
      </c>
      <c r="J138" s="873">
        <f>J553</f>
        <v>36002</v>
      </c>
      <c r="K138" s="873">
        <f t="shared" si="2"/>
        <v>90005</v>
      </c>
    </row>
    <row r="139" spans="1:11" s="874" customFormat="1" ht="64.5" customHeight="1">
      <c r="A139" s="893" t="s">
        <v>2204</v>
      </c>
      <c r="B139" s="1083" t="s">
        <v>2205</v>
      </c>
      <c r="C139" s="1084"/>
      <c r="D139" s="1084"/>
      <c r="E139" s="1084"/>
      <c r="F139" s="1085"/>
      <c r="G139" s="894">
        <v>8100</v>
      </c>
      <c r="H139" s="895">
        <v>169711</v>
      </c>
      <c r="I139" s="873">
        <f>I558</f>
        <v>48394.8</v>
      </c>
      <c r="J139" s="873">
        <f>J558</f>
        <v>32263.199999999997</v>
      </c>
      <c r="K139" s="873">
        <f t="shared" si="2"/>
        <v>80658</v>
      </c>
    </row>
    <row r="140" spans="1:11" s="874" customFormat="1" ht="64.5" customHeight="1">
      <c r="A140" s="893" t="s">
        <v>193</v>
      </c>
      <c r="B140" s="1083" t="s">
        <v>1476</v>
      </c>
      <c r="C140" s="1084"/>
      <c r="D140" s="1084"/>
      <c r="E140" s="1084"/>
      <c r="F140" s="1085"/>
      <c r="G140" s="894">
        <v>8100</v>
      </c>
      <c r="H140" s="896" t="s">
        <v>2445</v>
      </c>
      <c r="I140" s="873">
        <f>I567</f>
        <v>3900</v>
      </c>
      <c r="J140" s="873">
        <f>J567</f>
        <v>2600</v>
      </c>
      <c r="K140" s="873">
        <f t="shared" si="2"/>
        <v>6500</v>
      </c>
    </row>
    <row r="141" spans="1:11" s="874" customFormat="1" ht="64.5" customHeight="1">
      <c r="A141" s="893" t="s">
        <v>244</v>
      </c>
      <c r="B141" s="1083" t="s">
        <v>266</v>
      </c>
      <c r="C141" s="1084"/>
      <c r="D141" s="1084"/>
      <c r="E141" s="1084"/>
      <c r="F141" s="1085"/>
      <c r="G141" s="894">
        <v>8100</v>
      </c>
      <c r="H141" s="895">
        <v>169711</v>
      </c>
      <c r="I141" s="873">
        <f>I569</f>
        <v>7117.7999999999993</v>
      </c>
      <c r="J141" s="873">
        <f>J569</f>
        <v>4745.2</v>
      </c>
      <c r="K141" s="873">
        <f t="shared" si="2"/>
        <v>11863</v>
      </c>
    </row>
    <row r="142" spans="1:11" s="872" customFormat="1" ht="64.5" customHeight="1">
      <c r="A142" s="890"/>
      <c r="B142" s="1086" t="s">
        <v>2047</v>
      </c>
      <c r="C142" s="1087"/>
      <c r="D142" s="1087"/>
      <c r="E142" s="1087"/>
      <c r="F142" s="1088"/>
      <c r="G142" s="891"/>
      <c r="H142" s="892"/>
      <c r="I142" s="871">
        <f>SUM(I143:I146)</f>
        <v>499128.00000000006</v>
      </c>
      <c r="J142" s="871">
        <f>SUM(J143:J146)</f>
        <v>332752</v>
      </c>
      <c r="K142" s="871">
        <f t="shared" si="2"/>
        <v>831880</v>
      </c>
    </row>
    <row r="143" spans="1:11" s="874" customFormat="1" ht="64.5" customHeight="1">
      <c r="A143" s="893" t="s">
        <v>2275</v>
      </c>
      <c r="B143" s="1083" t="s">
        <v>2212</v>
      </c>
      <c r="C143" s="1084"/>
      <c r="D143" s="1084"/>
      <c r="E143" s="1084"/>
      <c r="F143" s="1085"/>
      <c r="G143" s="894">
        <v>8100</v>
      </c>
      <c r="H143" s="895">
        <v>169711</v>
      </c>
      <c r="I143" s="873">
        <f>I905</f>
        <v>192533.4</v>
      </c>
      <c r="J143" s="873">
        <f>J905</f>
        <v>128355.6</v>
      </c>
      <c r="K143" s="873">
        <f t="shared" si="2"/>
        <v>320889</v>
      </c>
    </row>
    <row r="144" spans="1:11" s="874" customFormat="1" ht="64.5" customHeight="1">
      <c r="A144" s="893" t="s">
        <v>2204</v>
      </c>
      <c r="B144" s="1083" t="s">
        <v>2205</v>
      </c>
      <c r="C144" s="1084"/>
      <c r="D144" s="1084"/>
      <c r="E144" s="1084"/>
      <c r="F144" s="1085"/>
      <c r="G144" s="894">
        <v>8100</v>
      </c>
      <c r="H144" s="895">
        <v>169711</v>
      </c>
      <c r="I144" s="873">
        <f>I912</f>
        <v>232736.40000000002</v>
      </c>
      <c r="J144" s="873">
        <f>J912</f>
        <v>155157.6</v>
      </c>
      <c r="K144" s="873">
        <f t="shared" si="2"/>
        <v>387894</v>
      </c>
    </row>
    <row r="145" spans="1:11" s="874" customFormat="1" ht="64.5" customHeight="1">
      <c r="A145" s="893" t="s">
        <v>193</v>
      </c>
      <c r="B145" s="1083" t="s">
        <v>1476</v>
      </c>
      <c r="C145" s="1084"/>
      <c r="D145" s="1084"/>
      <c r="E145" s="1084"/>
      <c r="F145" s="1085"/>
      <c r="G145" s="894">
        <v>8100</v>
      </c>
      <c r="H145" s="896" t="s">
        <v>2445</v>
      </c>
      <c r="I145" s="873">
        <f>I918</f>
        <v>16200</v>
      </c>
      <c r="J145" s="873">
        <f>J918</f>
        <v>10800</v>
      </c>
      <c r="K145" s="873">
        <f t="shared" si="2"/>
        <v>27000</v>
      </c>
    </row>
    <row r="146" spans="1:11" s="874" customFormat="1" ht="64.5" customHeight="1">
      <c r="A146" s="893" t="s">
        <v>244</v>
      </c>
      <c r="B146" s="1083" t="s">
        <v>266</v>
      </c>
      <c r="C146" s="1084"/>
      <c r="D146" s="1084"/>
      <c r="E146" s="1084"/>
      <c r="F146" s="1085"/>
      <c r="G146" s="894">
        <v>8100</v>
      </c>
      <c r="H146" s="895">
        <v>169711</v>
      </c>
      <c r="I146" s="873">
        <f>I920</f>
        <v>57658.2</v>
      </c>
      <c r="J146" s="873">
        <f>J920</f>
        <v>38438.800000000003</v>
      </c>
      <c r="K146" s="873">
        <f t="shared" si="2"/>
        <v>96097</v>
      </c>
    </row>
    <row r="147" spans="1:11" s="872" customFormat="1" ht="64.5" customHeight="1">
      <c r="A147" s="890"/>
      <c r="B147" s="1086" t="s">
        <v>2070</v>
      </c>
      <c r="C147" s="1087"/>
      <c r="D147" s="1087"/>
      <c r="E147" s="1087"/>
      <c r="F147" s="1088"/>
      <c r="G147" s="891"/>
      <c r="H147" s="892"/>
      <c r="I147" s="871">
        <f>SUM(I148:I150)</f>
        <v>186247.8</v>
      </c>
      <c r="J147" s="871">
        <f>SUM(J148:J150)</f>
        <v>124165.20000000001</v>
      </c>
      <c r="K147" s="871">
        <f t="shared" si="2"/>
        <v>310413</v>
      </c>
    </row>
    <row r="148" spans="1:11" s="874" customFormat="1" ht="64.5" customHeight="1">
      <c r="A148" s="893" t="s">
        <v>2275</v>
      </c>
      <c r="B148" s="1083" t="s">
        <v>2212</v>
      </c>
      <c r="C148" s="1084"/>
      <c r="D148" s="1084"/>
      <c r="E148" s="1084"/>
      <c r="F148" s="1085"/>
      <c r="G148" s="894">
        <v>8100</v>
      </c>
      <c r="H148" s="895">
        <v>169711</v>
      </c>
      <c r="I148" s="873">
        <f>I947</f>
        <v>3600</v>
      </c>
      <c r="J148" s="873">
        <f>J947</f>
        <v>2400</v>
      </c>
      <c r="K148" s="873">
        <f t="shared" si="2"/>
        <v>6000</v>
      </c>
    </row>
    <row r="149" spans="1:11" s="874" customFormat="1" ht="64.5" customHeight="1">
      <c r="A149" s="893" t="s">
        <v>2204</v>
      </c>
      <c r="B149" s="1083" t="s">
        <v>2205</v>
      </c>
      <c r="C149" s="1084"/>
      <c r="D149" s="1084"/>
      <c r="E149" s="1084"/>
      <c r="F149" s="1085"/>
      <c r="G149" s="894">
        <v>8100</v>
      </c>
      <c r="H149" s="895">
        <v>169711</v>
      </c>
      <c r="I149" s="873">
        <f>I949</f>
        <v>177415.8</v>
      </c>
      <c r="J149" s="873">
        <f>J949</f>
        <v>118277.20000000001</v>
      </c>
      <c r="K149" s="873">
        <f t="shared" si="2"/>
        <v>295693</v>
      </c>
    </row>
    <row r="150" spans="1:11" s="874" customFormat="1" ht="64.5" customHeight="1">
      <c r="A150" s="893" t="s">
        <v>244</v>
      </c>
      <c r="B150" s="1083" t="s">
        <v>266</v>
      </c>
      <c r="C150" s="1084"/>
      <c r="D150" s="1084"/>
      <c r="E150" s="1084"/>
      <c r="F150" s="1085"/>
      <c r="G150" s="894">
        <v>8100</v>
      </c>
      <c r="H150" s="895">
        <v>169711</v>
      </c>
      <c r="I150" s="873">
        <f>I953</f>
        <v>5232</v>
      </c>
      <c r="J150" s="873">
        <f>J953</f>
        <v>3488</v>
      </c>
      <c r="K150" s="873">
        <f t="shared" si="2"/>
        <v>8720</v>
      </c>
    </row>
    <row r="151" spans="1:11" s="872" customFormat="1" ht="64.5" customHeight="1">
      <c r="A151" s="890"/>
      <c r="B151" s="1086" t="s">
        <v>2137</v>
      </c>
      <c r="C151" s="1087"/>
      <c r="D151" s="1087"/>
      <c r="E151" s="1087"/>
      <c r="F151" s="1088"/>
      <c r="G151" s="891"/>
      <c r="H151" s="892"/>
      <c r="I151" s="871">
        <f>SUM(I152:I155)</f>
        <v>284751.00000000006</v>
      </c>
      <c r="J151" s="871">
        <f>SUM(J152:J155)</f>
        <v>189834</v>
      </c>
      <c r="K151" s="871">
        <f t="shared" si="2"/>
        <v>474585.00000000006</v>
      </c>
    </row>
    <row r="152" spans="1:11" s="874" customFormat="1" ht="64.5" customHeight="1">
      <c r="A152" s="893" t="s">
        <v>2275</v>
      </c>
      <c r="B152" s="1083" t="s">
        <v>2212</v>
      </c>
      <c r="C152" s="1084"/>
      <c r="D152" s="1084"/>
      <c r="E152" s="1084"/>
      <c r="F152" s="1085"/>
      <c r="G152" s="894">
        <v>8100</v>
      </c>
      <c r="H152" s="895">
        <v>169711</v>
      </c>
      <c r="I152" s="873">
        <f>I960</f>
        <v>50820</v>
      </c>
      <c r="J152" s="873">
        <f>J960</f>
        <v>33880</v>
      </c>
      <c r="K152" s="873">
        <f t="shared" si="2"/>
        <v>84700</v>
      </c>
    </row>
    <row r="153" spans="1:11" s="874" customFormat="1" ht="64.5" customHeight="1">
      <c r="A153" s="893" t="s">
        <v>2204</v>
      </c>
      <c r="B153" s="1083" t="s">
        <v>2205</v>
      </c>
      <c r="C153" s="1084"/>
      <c r="D153" s="1084"/>
      <c r="E153" s="1084"/>
      <c r="F153" s="1085"/>
      <c r="G153" s="894">
        <v>8100</v>
      </c>
      <c r="H153" s="895">
        <v>169711</v>
      </c>
      <c r="I153" s="873">
        <f>I962</f>
        <v>196490.22000000003</v>
      </c>
      <c r="J153" s="873">
        <f>J962</f>
        <v>130993.48000000001</v>
      </c>
      <c r="K153" s="873">
        <f t="shared" si="2"/>
        <v>327483.70000000007</v>
      </c>
    </row>
    <row r="154" spans="1:11" s="874" customFormat="1" ht="64.5" customHeight="1">
      <c r="A154" s="893" t="s">
        <v>193</v>
      </c>
      <c r="B154" s="1083" t="s">
        <v>1476</v>
      </c>
      <c r="C154" s="1084"/>
      <c r="D154" s="1084"/>
      <c r="E154" s="1084"/>
      <c r="F154" s="1085"/>
      <c r="G154" s="894">
        <v>8100</v>
      </c>
      <c r="H154" s="896" t="s">
        <v>2445</v>
      </c>
      <c r="I154" s="873">
        <f>I972</f>
        <v>31986.780000000002</v>
      </c>
      <c r="J154" s="873">
        <f>J972</f>
        <v>21324.520000000004</v>
      </c>
      <c r="K154" s="873">
        <f t="shared" si="2"/>
        <v>53311.3</v>
      </c>
    </row>
    <row r="155" spans="1:11" s="874" customFormat="1" ht="64.5" customHeight="1">
      <c r="A155" s="893" t="s">
        <v>244</v>
      </c>
      <c r="B155" s="1083" t="s">
        <v>266</v>
      </c>
      <c r="C155" s="1084"/>
      <c r="D155" s="1084"/>
      <c r="E155" s="1084"/>
      <c r="F155" s="1085"/>
      <c r="G155" s="894">
        <v>8100</v>
      </c>
      <c r="H155" s="895">
        <v>169711</v>
      </c>
      <c r="I155" s="873">
        <f>I974</f>
        <v>5454</v>
      </c>
      <c r="J155" s="873">
        <f>J974</f>
        <v>3636</v>
      </c>
      <c r="K155" s="873">
        <f t="shared" si="2"/>
        <v>9090</v>
      </c>
    </row>
    <row r="156" spans="1:11" s="872" customFormat="1" ht="64.5" customHeight="1">
      <c r="A156" s="890"/>
      <c r="B156" s="1086" t="s">
        <v>2174</v>
      </c>
      <c r="C156" s="1087"/>
      <c r="D156" s="1087"/>
      <c r="E156" s="1087"/>
      <c r="F156" s="1088"/>
      <c r="G156" s="891"/>
      <c r="H156" s="892"/>
      <c r="I156" s="871">
        <f>SUM(I157:I159)</f>
        <v>65636.399999999994</v>
      </c>
      <c r="J156" s="871">
        <f>SUM(J157:J159)</f>
        <v>43757.599999999999</v>
      </c>
      <c r="K156" s="871">
        <f t="shared" si="2"/>
        <v>109394</v>
      </c>
    </row>
    <row r="157" spans="1:11" s="874" customFormat="1" ht="64.5" customHeight="1">
      <c r="A157" s="893" t="s">
        <v>2204</v>
      </c>
      <c r="B157" s="1083" t="s">
        <v>2205</v>
      </c>
      <c r="C157" s="1084"/>
      <c r="D157" s="1084"/>
      <c r="E157" s="1084"/>
      <c r="F157" s="1085"/>
      <c r="G157" s="894">
        <v>8100</v>
      </c>
      <c r="H157" s="895">
        <v>169711</v>
      </c>
      <c r="I157" s="873">
        <f>I990</f>
        <v>56276.4</v>
      </c>
      <c r="J157" s="873">
        <f>J990</f>
        <v>37517.599999999999</v>
      </c>
      <c r="K157" s="873">
        <f t="shared" si="2"/>
        <v>93794</v>
      </c>
    </row>
    <row r="158" spans="1:11" s="874" customFormat="1" ht="64.5" customHeight="1">
      <c r="A158" s="893" t="s">
        <v>193</v>
      </c>
      <c r="B158" s="1083" t="s">
        <v>1476</v>
      </c>
      <c r="C158" s="1084"/>
      <c r="D158" s="1084"/>
      <c r="E158" s="1084"/>
      <c r="F158" s="1085"/>
      <c r="G158" s="894">
        <v>8100</v>
      </c>
      <c r="H158" s="896" t="s">
        <v>2445</v>
      </c>
      <c r="I158" s="873">
        <f>I996</f>
        <v>3960</v>
      </c>
      <c r="J158" s="873">
        <f>J996</f>
        <v>2640</v>
      </c>
      <c r="K158" s="873">
        <f t="shared" si="2"/>
        <v>6600</v>
      </c>
    </row>
    <row r="159" spans="1:11" s="874" customFormat="1" ht="64.5" customHeight="1">
      <c r="A159" s="893" t="s">
        <v>244</v>
      </c>
      <c r="B159" s="1083" t="s">
        <v>266</v>
      </c>
      <c r="C159" s="1084"/>
      <c r="D159" s="1084"/>
      <c r="E159" s="1084"/>
      <c r="F159" s="1085"/>
      <c r="G159" s="894">
        <v>8100</v>
      </c>
      <c r="H159" s="895">
        <v>169711</v>
      </c>
      <c r="I159" s="873">
        <f>I998</f>
        <v>5400</v>
      </c>
      <c r="J159" s="873">
        <f>J998</f>
        <v>3600</v>
      </c>
      <c r="K159" s="873">
        <f t="shared" si="2"/>
        <v>9000</v>
      </c>
    </row>
    <row r="160" spans="1:11" s="872" customFormat="1" ht="64.5" customHeight="1">
      <c r="A160" s="890"/>
      <c r="B160" s="1086" t="s">
        <v>2003</v>
      </c>
      <c r="C160" s="1087"/>
      <c r="D160" s="1087"/>
      <c r="E160" s="1087"/>
      <c r="F160" s="1088"/>
      <c r="G160" s="891"/>
      <c r="H160" s="892"/>
      <c r="I160" s="871">
        <f>SUM(I161:I164)</f>
        <v>215945.4</v>
      </c>
      <c r="J160" s="871">
        <f>SUM(J161:J164)</f>
        <v>143963.6</v>
      </c>
      <c r="K160" s="871">
        <f t="shared" si="2"/>
        <v>359909</v>
      </c>
    </row>
    <row r="161" spans="1:11" s="874" customFormat="1" ht="64.5" customHeight="1">
      <c r="A161" s="893" t="s">
        <v>2275</v>
      </c>
      <c r="B161" s="1083" t="s">
        <v>2212</v>
      </c>
      <c r="C161" s="1084"/>
      <c r="D161" s="1084"/>
      <c r="E161" s="1084"/>
      <c r="F161" s="1085"/>
      <c r="G161" s="894">
        <v>8100</v>
      </c>
      <c r="H161" s="895">
        <v>169711</v>
      </c>
      <c r="I161" s="873">
        <f>I1004</f>
        <v>35784</v>
      </c>
      <c r="J161" s="873">
        <f>J1004</f>
        <v>23856</v>
      </c>
      <c r="K161" s="873">
        <f t="shared" si="2"/>
        <v>59640</v>
      </c>
    </row>
    <row r="162" spans="1:11" s="874" customFormat="1" ht="64.5" customHeight="1">
      <c r="A162" s="893" t="s">
        <v>2204</v>
      </c>
      <c r="B162" s="1083" t="s">
        <v>2205</v>
      </c>
      <c r="C162" s="1084"/>
      <c r="D162" s="1084"/>
      <c r="E162" s="1084"/>
      <c r="F162" s="1085"/>
      <c r="G162" s="894">
        <v>8100</v>
      </c>
      <c r="H162" s="895">
        <v>169711</v>
      </c>
      <c r="I162" s="873">
        <f>I1007</f>
        <v>143924.4</v>
      </c>
      <c r="J162" s="873">
        <f>J1007</f>
        <v>95949.6</v>
      </c>
      <c r="K162" s="873">
        <f t="shared" si="2"/>
        <v>239874</v>
      </c>
    </row>
    <row r="163" spans="1:11" s="874" customFormat="1" ht="64.5" customHeight="1">
      <c r="A163" s="893" t="s">
        <v>193</v>
      </c>
      <c r="B163" s="1083" t="s">
        <v>1476</v>
      </c>
      <c r="C163" s="1084"/>
      <c r="D163" s="1084"/>
      <c r="E163" s="1084"/>
      <c r="F163" s="1085"/>
      <c r="G163" s="894">
        <v>8100</v>
      </c>
      <c r="H163" s="896" t="s">
        <v>2445</v>
      </c>
      <c r="I163" s="873">
        <f>I1014</f>
        <v>18000</v>
      </c>
      <c r="J163" s="873">
        <f>J1014</f>
        <v>12000</v>
      </c>
      <c r="K163" s="873">
        <f t="shared" si="2"/>
        <v>30000</v>
      </c>
    </row>
    <row r="164" spans="1:11" s="874" customFormat="1" ht="64.5" customHeight="1">
      <c r="A164" s="893" t="s">
        <v>244</v>
      </c>
      <c r="B164" s="1083" t="s">
        <v>266</v>
      </c>
      <c r="C164" s="1084"/>
      <c r="D164" s="1084"/>
      <c r="E164" s="1084"/>
      <c r="F164" s="1085"/>
      <c r="G164" s="894">
        <v>8100</v>
      </c>
      <c r="H164" s="895">
        <v>169711</v>
      </c>
      <c r="I164" s="873">
        <f>I1016</f>
        <v>18237</v>
      </c>
      <c r="J164" s="873">
        <f>J1016</f>
        <v>12158</v>
      </c>
      <c r="K164" s="873">
        <f t="shared" si="2"/>
        <v>30395</v>
      </c>
    </row>
    <row r="165" spans="1:11" s="872" customFormat="1" ht="64.5" customHeight="1">
      <c r="A165" s="890"/>
      <c r="B165" s="897" t="s">
        <v>2082</v>
      </c>
      <c r="C165" s="898"/>
      <c r="D165" s="898"/>
      <c r="E165" s="898"/>
      <c r="F165" s="899"/>
      <c r="G165" s="891"/>
      <c r="H165" s="892"/>
      <c r="I165" s="871">
        <f>SUM(I166:I169)</f>
        <v>280201.8</v>
      </c>
      <c r="J165" s="871">
        <f>SUM(J166:J169)</f>
        <v>186801.2</v>
      </c>
      <c r="K165" s="871">
        <f t="shared" si="2"/>
        <v>467003</v>
      </c>
    </row>
    <row r="166" spans="1:11" s="874" customFormat="1" ht="64.5" customHeight="1">
      <c r="A166" s="893" t="s">
        <v>2275</v>
      </c>
      <c r="B166" s="1083" t="s">
        <v>2212</v>
      </c>
      <c r="C166" s="1084"/>
      <c r="D166" s="1084"/>
      <c r="E166" s="1084"/>
      <c r="F166" s="1085"/>
      <c r="G166" s="894">
        <v>8100</v>
      </c>
      <c r="H166" s="895">
        <v>169711</v>
      </c>
      <c r="I166" s="873">
        <f>I1034</f>
        <v>103200</v>
      </c>
      <c r="J166" s="873">
        <f>J1034</f>
        <v>68800</v>
      </c>
      <c r="K166" s="873">
        <f t="shared" si="2"/>
        <v>172000</v>
      </c>
    </row>
    <row r="167" spans="1:11" s="874" customFormat="1" ht="64.5" customHeight="1">
      <c r="A167" s="893" t="s">
        <v>2204</v>
      </c>
      <c r="B167" s="1083" t="s">
        <v>2205</v>
      </c>
      <c r="C167" s="1084"/>
      <c r="D167" s="1084"/>
      <c r="E167" s="1084"/>
      <c r="F167" s="1085"/>
      <c r="G167" s="894">
        <v>8100</v>
      </c>
      <c r="H167" s="895">
        <v>169711</v>
      </c>
      <c r="I167" s="873">
        <f>I1038</f>
        <v>153001.79999999999</v>
      </c>
      <c r="J167" s="873">
        <f>J1038</f>
        <v>102001.2</v>
      </c>
      <c r="K167" s="873">
        <f t="shared" si="2"/>
        <v>255003</v>
      </c>
    </row>
    <row r="168" spans="1:11" s="874" customFormat="1" ht="64.5" customHeight="1">
      <c r="A168" s="893" t="s">
        <v>193</v>
      </c>
      <c r="B168" s="1083" t="s">
        <v>1476</v>
      </c>
      <c r="C168" s="1084"/>
      <c r="D168" s="1084"/>
      <c r="E168" s="1084"/>
      <c r="F168" s="1085"/>
      <c r="G168" s="894">
        <v>8100</v>
      </c>
      <c r="H168" s="896" t="s">
        <v>2445</v>
      </c>
      <c r="I168" s="873">
        <f>I1045</f>
        <v>12000</v>
      </c>
      <c r="J168" s="873">
        <f>J1045</f>
        <v>8000</v>
      </c>
      <c r="K168" s="873">
        <f t="shared" si="2"/>
        <v>20000</v>
      </c>
    </row>
    <row r="169" spans="1:11" s="874" customFormat="1" ht="64.5" customHeight="1">
      <c r="A169" s="893" t="s">
        <v>244</v>
      </c>
      <c r="B169" s="1083" t="s">
        <v>266</v>
      </c>
      <c r="C169" s="1084"/>
      <c r="D169" s="1084"/>
      <c r="E169" s="1084"/>
      <c r="F169" s="1085"/>
      <c r="G169" s="894">
        <v>8100</v>
      </c>
      <c r="H169" s="895">
        <v>169711</v>
      </c>
      <c r="I169" s="873">
        <f>I1047</f>
        <v>12000</v>
      </c>
      <c r="J169" s="873">
        <f>J1047</f>
        <v>8000</v>
      </c>
      <c r="K169" s="873">
        <f t="shared" si="2"/>
        <v>20000</v>
      </c>
    </row>
    <row r="170" spans="1:11" s="872" customFormat="1" ht="64.5" customHeight="1">
      <c r="A170" s="890"/>
      <c r="B170" s="1086" t="s">
        <v>1805</v>
      </c>
      <c r="C170" s="1087"/>
      <c r="D170" s="1087"/>
      <c r="E170" s="1087"/>
      <c r="F170" s="1088"/>
      <c r="G170" s="891"/>
      <c r="H170" s="892"/>
      <c r="I170" s="871">
        <f>SUM(I171:I175)</f>
        <v>250561.19999999998</v>
      </c>
      <c r="J170" s="871">
        <f>SUM(J171:J175)</f>
        <v>139238.79999999999</v>
      </c>
      <c r="K170" s="871">
        <f t="shared" si="2"/>
        <v>389800</v>
      </c>
    </row>
    <row r="171" spans="1:11" s="874" customFormat="1" ht="64.5" customHeight="1">
      <c r="A171" s="893" t="s">
        <v>2204</v>
      </c>
      <c r="B171" s="1083" t="s">
        <v>2205</v>
      </c>
      <c r="C171" s="1084"/>
      <c r="D171" s="1084"/>
      <c r="E171" s="1084"/>
      <c r="F171" s="1085"/>
      <c r="G171" s="894">
        <v>8100</v>
      </c>
      <c r="H171" s="895">
        <v>169711</v>
      </c>
      <c r="I171" s="873">
        <f>I585</f>
        <v>21299.4</v>
      </c>
      <c r="J171" s="873">
        <f>J585</f>
        <v>14199.6</v>
      </c>
      <c r="K171" s="873">
        <f t="shared" si="2"/>
        <v>35499</v>
      </c>
    </row>
    <row r="172" spans="1:11" s="874" customFormat="1" ht="64.5" customHeight="1">
      <c r="A172" s="893" t="s">
        <v>193</v>
      </c>
      <c r="B172" s="1083" t="s">
        <v>1476</v>
      </c>
      <c r="C172" s="1084"/>
      <c r="D172" s="1084"/>
      <c r="E172" s="1084"/>
      <c r="F172" s="1085"/>
      <c r="G172" s="894">
        <v>8100</v>
      </c>
      <c r="H172" s="896" t="s">
        <v>2445</v>
      </c>
      <c r="I172" s="873">
        <f>I591</f>
        <v>4800</v>
      </c>
      <c r="J172" s="873">
        <f>J591</f>
        <v>3200</v>
      </c>
      <c r="K172" s="873">
        <f t="shared" si="2"/>
        <v>8000</v>
      </c>
    </row>
    <row r="173" spans="1:11" s="874" customFormat="1" ht="64.5" customHeight="1">
      <c r="A173" s="893" t="s">
        <v>244</v>
      </c>
      <c r="B173" s="1083" t="s">
        <v>266</v>
      </c>
      <c r="C173" s="1084"/>
      <c r="D173" s="1084"/>
      <c r="E173" s="1084"/>
      <c r="F173" s="1085"/>
      <c r="G173" s="894">
        <v>8100</v>
      </c>
      <c r="H173" s="895">
        <v>169711</v>
      </c>
      <c r="I173" s="873">
        <f>I593</f>
        <v>10500</v>
      </c>
      <c r="J173" s="873">
        <f>J593</f>
        <v>7000</v>
      </c>
      <c r="K173" s="873">
        <f t="shared" si="2"/>
        <v>17500</v>
      </c>
    </row>
    <row r="174" spans="1:11" s="874" customFormat="1" ht="64.5" customHeight="1">
      <c r="A174" s="893" t="s">
        <v>417</v>
      </c>
      <c r="B174" s="1083" t="s">
        <v>2207</v>
      </c>
      <c r="C174" s="1084"/>
      <c r="D174" s="1084"/>
      <c r="E174" s="1084"/>
      <c r="F174" s="1085"/>
      <c r="G174" s="894">
        <v>8100</v>
      </c>
      <c r="H174" s="895">
        <v>169716</v>
      </c>
      <c r="I174" s="873">
        <f>I596</f>
        <v>205285.8</v>
      </c>
      <c r="J174" s="873">
        <f>J596</f>
        <v>114839.2</v>
      </c>
      <c r="K174" s="873">
        <f t="shared" si="2"/>
        <v>320125</v>
      </c>
    </row>
    <row r="175" spans="1:11" s="874" customFormat="1" ht="64.5" customHeight="1">
      <c r="A175" s="893" t="s">
        <v>417</v>
      </c>
      <c r="B175" s="1083" t="s">
        <v>2471</v>
      </c>
      <c r="C175" s="1084"/>
      <c r="D175" s="1084"/>
      <c r="E175" s="1084"/>
      <c r="F175" s="1085"/>
      <c r="G175" s="894"/>
      <c r="H175" s="895"/>
      <c r="I175" s="873">
        <f>I610+I611</f>
        <v>8676</v>
      </c>
      <c r="J175" s="873">
        <f>J610+J611</f>
        <v>0</v>
      </c>
      <c r="K175" s="873">
        <f>I175+J175</f>
        <v>8676</v>
      </c>
    </row>
    <row r="176" spans="1:11" s="872" customFormat="1" ht="64.5" customHeight="1">
      <c r="A176" s="890"/>
      <c r="B176" s="1086" t="s">
        <v>1901</v>
      </c>
      <c r="C176" s="1087"/>
      <c r="D176" s="1087"/>
      <c r="E176" s="1087"/>
      <c r="F176" s="1088"/>
      <c r="G176" s="891"/>
      <c r="H176" s="892"/>
      <c r="I176" s="871">
        <f>SUM(I177:I179)</f>
        <v>44001.468000000001</v>
      </c>
      <c r="J176" s="871">
        <f>SUM(J177:J179)</f>
        <v>29334.311999999998</v>
      </c>
      <c r="K176" s="871">
        <f t="shared" si="2"/>
        <v>73335.78</v>
      </c>
    </row>
    <row r="177" spans="1:11" s="874" customFormat="1" ht="64.5" customHeight="1">
      <c r="A177" s="893" t="s">
        <v>2204</v>
      </c>
      <c r="B177" s="1083" t="s">
        <v>2205</v>
      </c>
      <c r="C177" s="1084"/>
      <c r="D177" s="1084"/>
      <c r="E177" s="1084"/>
      <c r="F177" s="1085"/>
      <c r="G177" s="894">
        <v>8100</v>
      </c>
      <c r="H177" s="895">
        <v>169711</v>
      </c>
      <c r="I177" s="873">
        <f>I752</f>
        <v>32527.601999999999</v>
      </c>
      <c r="J177" s="873">
        <f>J752</f>
        <v>21685.067999999999</v>
      </c>
      <c r="K177" s="873">
        <f t="shared" si="2"/>
        <v>54212.67</v>
      </c>
    </row>
    <row r="178" spans="1:11" s="874" customFormat="1" ht="64.5" customHeight="1">
      <c r="A178" s="893" t="s">
        <v>193</v>
      </c>
      <c r="B178" s="1083" t="s">
        <v>1476</v>
      </c>
      <c r="C178" s="1084"/>
      <c r="D178" s="1084"/>
      <c r="E178" s="1084"/>
      <c r="F178" s="1085"/>
      <c r="G178" s="894">
        <v>8100</v>
      </c>
      <c r="H178" s="896" t="s">
        <v>2445</v>
      </c>
      <c r="I178" s="873">
        <f>I762</f>
        <v>2520</v>
      </c>
      <c r="J178" s="873">
        <f>J762</f>
        <v>1680</v>
      </c>
      <c r="K178" s="873">
        <f t="shared" si="2"/>
        <v>4200</v>
      </c>
    </row>
    <row r="179" spans="1:11" s="874" customFormat="1" ht="64.5" customHeight="1">
      <c r="A179" s="893" t="s">
        <v>244</v>
      </c>
      <c r="B179" s="1083" t="s">
        <v>266</v>
      </c>
      <c r="C179" s="1084"/>
      <c r="D179" s="1084"/>
      <c r="E179" s="1084"/>
      <c r="F179" s="1085"/>
      <c r="G179" s="894">
        <v>8100</v>
      </c>
      <c r="H179" s="895">
        <v>169711</v>
      </c>
      <c r="I179" s="873">
        <f>I764</f>
        <v>8953.866</v>
      </c>
      <c r="J179" s="873">
        <f>J764</f>
        <v>5969.2439999999997</v>
      </c>
      <c r="K179" s="873">
        <f t="shared" si="2"/>
        <v>14923.11</v>
      </c>
    </row>
    <row r="180" spans="1:11" s="872" customFormat="1" ht="64.5" customHeight="1">
      <c r="A180" s="890"/>
      <c r="B180" s="1086" t="s">
        <v>1780</v>
      </c>
      <c r="C180" s="1087"/>
      <c r="D180" s="1087"/>
      <c r="E180" s="1087"/>
      <c r="F180" s="1088"/>
      <c r="G180" s="891"/>
      <c r="H180" s="892"/>
      <c r="I180" s="871">
        <f>SUM(I181:I183)</f>
        <v>69870.600000000006</v>
      </c>
      <c r="J180" s="871">
        <f>SUM(J181:J183)</f>
        <v>46580.4</v>
      </c>
      <c r="K180" s="871">
        <f t="shared" si="2"/>
        <v>116451</v>
      </c>
    </row>
    <row r="181" spans="1:11" s="874" customFormat="1" ht="64.5" customHeight="1">
      <c r="A181" s="893" t="s">
        <v>2204</v>
      </c>
      <c r="B181" s="1083" t="s">
        <v>2205</v>
      </c>
      <c r="C181" s="1084"/>
      <c r="D181" s="1084"/>
      <c r="E181" s="1084"/>
      <c r="F181" s="1085"/>
      <c r="G181" s="894">
        <v>8100</v>
      </c>
      <c r="H181" s="895">
        <v>169711</v>
      </c>
      <c r="I181" s="873">
        <f>I625</f>
        <v>59370.600000000006</v>
      </c>
      <c r="J181" s="873">
        <f>J625</f>
        <v>39580.400000000001</v>
      </c>
      <c r="K181" s="873">
        <f t="shared" si="2"/>
        <v>98951</v>
      </c>
    </row>
    <row r="182" spans="1:11" s="874" customFormat="1" ht="64.5" customHeight="1">
      <c r="A182" s="893" t="s">
        <v>193</v>
      </c>
      <c r="B182" s="1083" t="s">
        <v>1476</v>
      </c>
      <c r="C182" s="1084"/>
      <c r="D182" s="1084"/>
      <c r="E182" s="1084"/>
      <c r="F182" s="1085"/>
      <c r="G182" s="894">
        <v>8100</v>
      </c>
      <c r="H182" s="896" t="s">
        <v>2445</v>
      </c>
      <c r="I182" s="873">
        <f>I632</f>
        <v>3000</v>
      </c>
      <c r="J182" s="873">
        <f>J632</f>
        <v>2000</v>
      </c>
      <c r="K182" s="873">
        <f t="shared" si="2"/>
        <v>5000</v>
      </c>
    </row>
    <row r="183" spans="1:11" s="874" customFormat="1" ht="64.5" customHeight="1">
      <c r="A183" s="893" t="s">
        <v>244</v>
      </c>
      <c r="B183" s="1083" t="s">
        <v>266</v>
      </c>
      <c r="C183" s="1084"/>
      <c r="D183" s="1084"/>
      <c r="E183" s="1084"/>
      <c r="F183" s="1085"/>
      <c r="G183" s="894">
        <v>8100</v>
      </c>
      <c r="H183" s="895">
        <v>169711</v>
      </c>
      <c r="I183" s="873">
        <f>I634</f>
        <v>7500</v>
      </c>
      <c r="J183" s="873">
        <f>J634</f>
        <v>5000</v>
      </c>
      <c r="K183" s="873">
        <f t="shared" si="2"/>
        <v>12500</v>
      </c>
    </row>
    <row r="184" spans="1:11" s="872" customFormat="1" ht="64.5" customHeight="1">
      <c r="A184" s="890"/>
      <c r="B184" s="1086" t="s">
        <v>1982</v>
      </c>
      <c r="C184" s="1087"/>
      <c r="D184" s="1087"/>
      <c r="E184" s="1087"/>
      <c r="F184" s="1088"/>
      <c r="G184" s="891"/>
      <c r="H184" s="892"/>
      <c r="I184" s="871">
        <f>SUM(I185:I187)</f>
        <v>42717</v>
      </c>
      <c r="J184" s="871">
        <f>SUM(J185:J187)</f>
        <v>28478</v>
      </c>
      <c r="K184" s="871">
        <f t="shared" si="2"/>
        <v>71195</v>
      </c>
    </row>
    <row r="185" spans="1:11" s="874" customFormat="1" ht="64.5" customHeight="1">
      <c r="A185" s="893" t="s">
        <v>2204</v>
      </c>
      <c r="B185" s="1083" t="s">
        <v>2205</v>
      </c>
      <c r="C185" s="1084"/>
      <c r="D185" s="1084"/>
      <c r="E185" s="1084"/>
      <c r="F185" s="1085"/>
      <c r="G185" s="894">
        <v>8100</v>
      </c>
      <c r="H185" s="895">
        <v>169711</v>
      </c>
      <c r="I185" s="873">
        <f>I782</f>
        <v>38817</v>
      </c>
      <c r="J185" s="873">
        <f>J782</f>
        <v>25878</v>
      </c>
      <c r="K185" s="873">
        <f t="shared" si="2"/>
        <v>64695</v>
      </c>
    </row>
    <row r="186" spans="1:11" s="874" customFormat="1" ht="64.5" customHeight="1">
      <c r="A186" s="893" t="s">
        <v>193</v>
      </c>
      <c r="B186" s="1083" t="s">
        <v>1476</v>
      </c>
      <c r="C186" s="1084"/>
      <c r="D186" s="1084"/>
      <c r="E186" s="1084"/>
      <c r="F186" s="1085"/>
      <c r="G186" s="894">
        <v>8100</v>
      </c>
      <c r="H186" s="896" t="s">
        <v>2445</v>
      </c>
      <c r="I186" s="873">
        <f>I789</f>
        <v>1500</v>
      </c>
      <c r="J186" s="873">
        <f>J789</f>
        <v>1000</v>
      </c>
      <c r="K186" s="873">
        <f t="shared" si="2"/>
        <v>2500</v>
      </c>
    </row>
    <row r="187" spans="1:11" s="874" customFormat="1" ht="64.5" customHeight="1">
      <c r="A187" s="893" t="s">
        <v>244</v>
      </c>
      <c r="B187" s="1083" t="s">
        <v>266</v>
      </c>
      <c r="C187" s="1084"/>
      <c r="D187" s="1084"/>
      <c r="E187" s="1084"/>
      <c r="F187" s="1085"/>
      <c r="G187" s="894">
        <v>8100</v>
      </c>
      <c r="H187" s="895">
        <v>169711</v>
      </c>
      <c r="I187" s="873">
        <f>I791</f>
        <v>2400</v>
      </c>
      <c r="J187" s="873">
        <f>J791</f>
        <v>1600</v>
      </c>
      <c r="K187" s="873">
        <f t="shared" si="2"/>
        <v>4000</v>
      </c>
    </row>
    <row r="188" spans="1:11" s="872" customFormat="1" ht="64.5" customHeight="1">
      <c r="A188" s="890"/>
      <c r="B188" s="1086" t="s">
        <v>2210</v>
      </c>
      <c r="C188" s="1087"/>
      <c r="D188" s="1087"/>
      <c r="E188" s="1087"/>
      <c r="F188" s="1088"/>
      <c r="G188" s="891"/>
      <c r="H188" s="892"/>
      <c r="I188" s="871">
        <f>SUM(I189:I190)</f>
        <v>36599.4</v>
      </c>
      <c r="J188" s="871">
        <f>SUM(J189:J190)</f>
        <v>24399.599999999999</v>
      </c>
      <c r="K188" s="871">
        <f t="shared" si="2"/>
        <v>60999</v>
      </c>
    </row>
    <row r="189" spans="1:11" s="874" customFormat="1" ht="64.5" customHeight="1">
      <c r="A189" s="893" t="s">
        <v>2204</v>
      </c>
      <c r="B189" s="1083" t="s">
        <v>2205</v>
      </c>
      <c r="C189" s="1084"/>
      <c r="D189" s="1084"/>
      <c r="E189" s="1084"/>
      <c r="F189" s="1085"/>
      <c r="G189" s="894">
        <v>8100</v>
      </c>
      <c r="H189" s="895">
        <v>169711</v>
      </c>
      <c r="I189" s="873">
        <f>I799</f>
        <v>34200</v>
      </c>
      <c r="J189" s="873">
        <f>J799</f>
        <v>22800</v>
      </c>
      <c r="K189" s="873">
        <f t="shared" si="2"/>
        <v>57000</v>
      </c>
    </row>
    <row r="190" spans="1:11" s="874" customFormat="1" ht="64.5" customHeight="1">
      <c r="A190" s="893" t="s">
        <v>244</v>
      </c>
      <c r="B190" s="1083" t="s">
        <v>266</v>
      </c>
      <c r="C190" s="1084"/>
      <c r="D190" s="1084"/>
      <c r="E190" s="1084"/>
      <c r="F190" s="1085"/>
      <c r="G190" s="894">
        <v>8100</v>
      </c>
      <c r="H190" s="895">
        <v>169711</v>
      </c>
      <c r="I190" s="873">
        <f>I803</f>
        <v>2399.4</v>
      </c>
      <c r="J190" s="873">
        <f>J803</f>
        <v>1599.6000000000001</v>
      </c>
      <c r="K190" s="873">
        <f t="shared" si="2"/>
        <v>3999</v>
      </c>
    </row>
    <row r="191" spans="1:11" s="872" customFormat="1" ht="64.5" customHeight="1">
      <c r="A191" s="890"/>
      <c r="B191" s="1086" t="s">
        <v>2073</v>
      </c>
      <c r="C191" s="1087"/>
      <c r="D191" s="1087"/>
      <c r="E191" s="1087"/>
      <c r="F191" s="1088"/>
      <c r="G191" s="891"/>
      <c r="H191" s="892"/>
      <c r="I191" s="871">
        <f>SUM(I192:I194)</f>
        <v>139721.4</v>
      </c>
      <c r="J191" s="871">
        <f>SUM(J192:J194)</f>
        <v>93147.6</v>
      </c>
      <c r="K191" s="871">
        <f t="shared" si="2"/>
        <v>232869</v>
      </c>
    </row>
    <row r="192" spans="1:11" s="874" customFormat="1" ht="64.5" customHeight="1">
      <c r="A192" s="893" t="s">
        <v>2204</v>
      </c>
      <c r="B192" s="1083" t="s">
        <v>2205</v>
      </c>
      <c r="C192" s="1084"/>
      <c r="D192" s="1084"/>
      <c r="E192" s="1084"/>
      <c r="F192" s="1085"/>
      <c r="G192" s="894">
        <v>8100</v>
      </c>
      <c r="H192" s="895">
        <v>169711</v>
      </c>
      <c r="I192" s="873">
        <f>I1055</f>
        <v>123715.20000000001</v>
      </c>
      <c r="J192" s="873">
        <f>J1055</f>
        <v>82476.800000000003</v>
      </c>
      <c r="K192" s="873">
        <f t="shared" si="2"/>
        <v>206192</v>
      </c>
    </row>
    <row r="193" spans="1:11" s="874" customFormat="1" ht="64.5" customHeight="1">
      <c r="A193" s="893" t="s">
        <v>193</v>
      </c>
      <c r="B193" s="1083" t="s">
        <v>1476</v>
      </c>
      <c r="C193" s="1084"/>
      <c r="D193" s="1084"/>
      <c r="E193" s="1084"/>
      <c r="F193" s="1085"/>
      <c r="G193" s="894">
        <v>8100</v>
      </c>
      <c r="H193" s="896" t="s">
        <v>2445</v>
      </c>
      <c r="I193" s="873">
        <f>I1064</f>
        <v>6509.4</v>
      </c>
      <c r="J193" s="873">
        <f>J1064</f>
        <v>4339.5999999999995</v>
      </c>
      <c r="K193" s="873">
        <f t="shared" si="2"/>
        <v>10849</v>
      </c>
    </row>
    <row r="194" spans="1:11" s="874" customFormat="1" ht="64.5" customHeight="1">
      <c r="A194" s="893" t="s">
        <v>244</v>
      </c>
      <c r="B194" s="1083" t="s">
        <v>266</v>
      </c>
      <c r="C194" s="1084"/>
      <c r="D194" s="1084"/>
      <c r="E194" s="1084"/>
      <c r="F194" s="1085"/>
      <c r="G194" s="894">
        <v>8100</v>
      </c>
      <c r="H194" s="895">
        <v>169711</v>
      </c>
      <c r="I194" s="873">
        <f>I1066</f>
        <v>9496.7999999999993</v>
      </c>
      <c r="J194" s="873">
        <f>J1066</f>
        <v>6331.2</v>
      </c>
      <c r="K194" s="873">
        <f t="shared" si="2"/>
        <v>15828</v>
      </c>
    </row>
    <row r="195" spans="1:11" s="877" customFormat="1" ht="64.5" customHeight="1">
      <c r="A195" s="909"/>
      <c r="B195" s="910"/>
      <c r="C195" s="910"/>
      <c r="D195" s="910"/>
      <c r="E195" s="910"/>
      <c r="F195" s="910"/>
      <c r="G195" s="911"/>
      <c r="H195" s="912"/>
      <c r="I195" s="913"/>
      <c r="J195" s="913"/>
      <c r="K195" s="914"/>
    </row>
    <row r="196" spans="1:11" s="879" customFormat="1" ht="64.5" customHeight="1">
      <c r="A196" s="915" t="s">
        <v>200</v>
      </c>
      <c r="B196" s="916"/>
      <c r="C196" s="916"/>
      <c r="D196" s="916"/>
      <c r="E196" s="916"/>
      <c r="F196" s="916"/>
      <c r="G196" s="916"/>
      <c r="H196" s="917"/>
      <c r="I196" s="878">
        <f>I188+I156+I32+I151+I16+I165+I191+I147+I142+I38+I160+I184+I28+I12+I111+I36+I108+I176+I116+I137+I170+I24+I180+I49+I114+I88+I74+I93+I55+I100+I105+I79+I97+I59+I83+I43+I119+I20</f>
        <v>9371235.4680000003</v>
      </c>
      <c r="J196" s="878">
        <f>J188+J156+J32+J151+J16+J165+J191+J147+J142+J38+J160+J184+J28+J12+J111+J36+J108+J176+J116+J137+J170+J24+J180+J49+J114+J88+J74+J93+J55+J100+J105+J79+J97+J59+J83+J43+J119+J20</f>
        <v>5989844.311999999</v>
      </c>
      <c r="K196" s="878">
        <f>I196+J196</f>
        <v>15361079.779999999</v>
      </c>
    </row>
    <row r="197" spans="1:11" s="877" customFormat="1" ht="36.75" customHeight="1">
      <c r="A197" s="918"/>
      <c r="B197" s="918"/>
      <c r="C197" s="918"/>
      <c r="D197" s="918"/>
      <c r="E197" s="918"/>
      <c r="F197" s="918"/>
      <c r="G197" s="919"/>
      <c r="H197" s="919"/>
      <c r="I197" s="919"/>
      <c r="J197" s="919"/>
      <c r="K197" s="919"/>
    </row>
    <row r="198" spans="1:11" s="877" customFormat="1" ht="19.5" customHeight="1">
      <c r="A198" s="918"/>
      <c r="B198" s="918"/>
      <c r="C198" s="918"/>
      <c r="D198" s="918"/>
      <c r="E198" s="918"/>
      <c r="F198" s="918"/>
      <c r="G198" s="919"/>
      <c r="H198" s="919"/>
      <c r="I198" s="919"/>
      <c r="J198" s="919"/>
      <c r="K198" s="919"/>
    </row>
    <row r="199" spans="1:11" ht="45" hidden="1">
      <c r="A199" s="979" t="s">
        <v>51</v>
      </c>
      <c r="B199" s="979"/>
      <c r="C199" s="979"/>
      <c r="D199" s="979"/>
      <c r="E199" s="979"/>
      <c r="F199" s="979"/>
      <c r="G199" s="979"/>
      <c r="H199" s="979"/>
      <c r="I199" s="979"/>
      <c r="J199" s="979"/>
      <c r="K199" s="979"/>
    </row>
    <row r="200" spans="1:11" ht="45" hidden="1">
      <c r="A200" s="979" t="s">
        <v>52</v>
      </c>
      <c r="B200" s="979"/>
      <c r="C200" s="979"/>
      <c r="D200" s="979"/>
      <c r="E200" s="979"/>
      <c r="F200" s="979"/>
      <c r="G200" s="979"/>
      <c r="H200" s="979"/>
      <c r="I200" s="979"/>
      <c r="J200" s="979"/>
      <c r="K200" s="979"/>
    </row>
    <row r="201" spans="1:11" ht="45" hidden="1">
      <c r="A201" s="1040" t="s">
        <v>50</v>
      </c>
      <c r="B201" s="1040"/>
      <c r="C201" s="1040"/>
      <c r="D201" s="1040"/>
      <c r="E201" s="1040"/>
      <c r="F201" s="1040"/>
      <c r="G201" s="1040"/>
      <c r="H201" s="1040"/>
      <c r="I201" s="1040"/>
      <c r="J201" s="1040"/>
      <c r="K201" s="1040"/>
    </row>
    <row r="202" spans="1:11" ht="44.25" hidden="1">
      <c r="A202" s="736"/>
      <c r="B202" s="736"/>
      <c r="C202" s="736"/>
      <c r="D202" s="736"/>
      <c r="E202" s="736"/>
      <c r="F202" s="736"/>
      <c r="G202" s="838"/>
      <c r="H202" s="838"/>
      <c r="I202" s="838"/>
      <c r="J202" s="838"/>
      <c r="K202" s="838"/>
    </row>
    <row r="203" spans="1:11" ht="45" hidden="1">
      <c r="A203" s="979" t="s">
        <v>1489</v>
      </c>
      <c r="B203" s="979"/>
      <c r="C203" s="979"/>
      <c r="D203" s="979"/>
      <c r="E203" s="979"/>
      <c r="F203" s="979"/>
      <c r="G203" s="979"/>
      <c r="H203" s="979"/>
      <c r="I203" s="979"/>
      <c r="J203" s="979"/>
      <c r="K203" s="979"/>
    </row>
    <row r="204" spans="1:11" s="620" customFormat="1" ht="33" hidden="1">
      <c r="A204" s="65"/>
      <c r="B204" s="65"/>
      <c r="C204" s="65"/>
      <c r="D204" s="65"/>
      <c r="E204" s="65"/>
      <c r="F204" s="65"/>
      <c r="G204" s="68"/>
      <c r="H204" s="68"/>
      <c r="I204" s="68"/>
      <c r="J204" s="68"/>
      <c r="K204" s="68"/>
    </row>
    <row r="205" spans="1:11" ht="20.100000000000001" hidden="1" customHeight="1">
      <c r="A205" s="65"/>
      <c r="B205" s="65"/>
      <c r="C205" s="65"/>
      <c r="D205" s="65"/>
      <c r="E205" s="65"/>
      <c r="F205" s="65"/>
      <c r="G205" s="68"/>
      <c r="H205" s="68"/>
      <c r="I205" s="68"/>
      <c r="J205" s="68"/>
      <c r="K205" s="68"/>
    </row>
    <row r="206" spans="1:11" ht="20.100000000000001" hidden="1" customHeight="1">
      <c r="A206" s="979"/>
      <c r="B206" s="979"/>
      <c r="C206" s="979"/>
      <c r="D206" s="979"/>
      <c r="E206" s="979"/>
      <c r="F206" s="979"/>
      <c r="G206" s="979"/>
      <c r="H206" s="979"/>
      <c r="I206" s="979"/>
      <c r="J206" s="979"/>
      <c r="K206" s="979"/>
    </row>
    <row r="207" spans="1:11" ht="45.75" hidden="1" customHeight="1">
      <c r="A207" s="1029" t="s">
        <v>1380</v>
      </c>
      <c r="B207" s="1030"/>
      <c r="C207" s="1030"/>
      <c r="D207" s="1030"/>
      <c r="E207" s="1030"/>
      <c r="F207" s="1030"/>
      <c r="G207" s="1030"/>
      <c r="H207" s="1030"/>
      <c r="I207" s="1030"/>
      <c r="J207" s="1030"/>
      <c r="K207" s="1030"/>
    </row>
    <row r="208" spans="1:11" ht="66" hidden="1" customHeight="1">
      <c r="A208" s="1031" t="s">
        <v>37</v>
      </c>
      <c r="B208" s="1033"/>
      <c r="C208" s="1037" t="s">
        <v>178</v>
      </c>
      <c r="D208" s="1037" t="s">
        <v>179</v>
      </c>
      <c r="E208" s="1037" t="s">
        <v>1521</v>
      </c>
      <c r="F208" s="1037" t="s">
        <v>14</v>
      </c>
      <c r="G208" s="1037" t="s">
        <v>1515</v>
      </c>
      <c r="H208" s="1037" t="s">
        <v>16</v>
      </c>
      <c r="I208" s="1039" t="s">
        <v>1490</v>
      </c>
      <c r="J208" s="1039" t="s">
        <v>2203</v>
      </c>
      <c r="K208" s="1037" t="s">
        <v>200</v>
      </c>
    </row>
    <row r="209" spans="1:11" s="500" customFormat="1" ht="30" hidden="1">
      <c r="A209" s="1034"/>
      <c r="B209" s="1036"/>
      <c r="C209" s="1038"/>
      <c r="D209" s="1038"/>
      <c r="E209" s="1038"/>
      <c r="F209" s="1038"/>
      <c r="G209" s="1038"/>
      <c r="H209" s="1038"/>
      <c r="I209" s="1039"/>
      <c r="J209" s="1039"/>
      <c r="K209" s="1038"/>
    </row>
    <row r="210" spans="1:11" s="500" customFormat="1" ht="74.25" hidden="1" customHeight="1">
      <c r="A210" s="1102" t="s">
        <v>1704</v>
      </c>
      <c r="B210" s="1103"/>
      <c r="C210" s="729"/>
      <c r="D210" s="729"/>
      <c r="E210" s="726"/>
      <c r="F210" s="727"/>
      <c r="G210" s="728"/>
      <c r="H210" s="728"/>
      <c r="I210" s="642">
        <f>I211+I213+I220</f>
        <v>777544.2</v>
      </c>
      <c r="J210" s="642">
        <f>J211+J213+J220</f>
        <v>439528.8</v>
      </c>
      <c r="K210" s="642">
        <f>I210+J210</f>
        <v>1217073</v>
      </c>
    </row>
    <row r="211" spans="1:11" ht="75" hidden="1" customHeight="1">
      <c r="A211" s="1011" t="s">
        <v>1541</v>
      </c>
      <c r="B211" s="1013"/>
      <c r="C211" s="709"/>
      <c r="D211" s="709"/>
      <c r="E211" s="709"/>
      <c r="F211" s="708"/>
      <c r="G211" s="709"/>
      <c r="H211" s="710"/>
      <c r="I211" s="545">
        <f>SUM(I212:I212)</f>
        <v>36306.6</v>
      </c>
      <c r="J211" s="545">
        <f>SUM(J212:J212)</f>
        <v>24204.400000000001</v>
      </c>
      <c r="K211" s="545">
        <f>I211+J211</f>
        <v>60511</v>
      </c>
    </row>
    <row r="212" spans="1:11" s="510" customFormat="1" ht="74.25" hidden="1" customHeight="1">
      <c r="A212" s="1020" t="s">
        <v>1705</v>
      </c>
      <c r="B212" s="1022"/>
      <c r="C212" s="714" t="s">
        <v>1544</v>
      </c>
      <c r="D212" s="714"/>
      <c r="E212" s="714" t="s">
        <v>1544</v>
      </c>
      <c r="F212" s="829" t="s">
        <v>2220</v>
      </c>
      <c r="G212" s="827">
        <v>8100</v>
      </c>
      <c r="H212" s="828" t="s">
        <v>2273</v>
      </c>
      <c r="I212" s="717">
        <f>K212/100*60</f>
        <v>36306.6</v>
      </c>
      <c r="J212" s="717">
        <f>K212/100*40</f>
        <v>24204.400000000001</v>
      </c>
      <c r="K212" s="717">
        <v>60511</v>
      </c>
    </row>
    <row r="213" spans="1:11" ht="74.25" hidden="1" customHeight="1">
      <c r="A213" s="1011" t="s">
        <v>1706</v>
      </c>
      <c r="B213" s="1013"/>
      <c r="C213" s="504"/>
      <c r="D213" s="709"/>
      <c r="E213" s="709"/>
      <c r="F213" s="708"/>
      <c r="G213" s="709"/>
      <c r="H213" s="710"/>
      <c r="I213" s="545">
        <f>SUM(I214:I219)</f>
        <v>719843.4</v>
      </c>
      <c r="J213" s="545">
        <f>SUM(J214:J219)</f>
        <v>401061.6</v>
      </c>
      <c r="K213" s="545">
        <f>I213+J213</f>
        <v>1120905</v>
      </c>
    </row>
    <row r="214" spans="1:11" s="510" customFormat="1" ht="74.25" hidden="1" customHeight="1">
      <c r="A214" s="1020" t="s">
        <v>1759</v>
      </c>
      <c r="B214" s="1022"/>
      <c r="C214" s="714" t="s">
        <v>1544</v>
      </c>
      <c r="D214" s="714"/>
      <c r="E214" s="714" t="s">
        <v>1544</v>
      </c>
      <c r="F214" s="833" t="s">
        <v>2221</v>
      </c>
      <c r="G214" s="1047">
        <v>8100</v>
      </c>
      <c r="H214" s="1099" t="s">
        <v>2450</v>
      </c>
      <c r="I214" s="717">
        <f>557946-27967</f>
        <v>529979</v>
      </c>
      <c r="J214" s="717">
        <f>371964-6068</f>
        <v>365896</v>
      </c>
      <c r="K214" s="717">
        <v>929910</v>
      </c>
    </row>
    <row r="215" spans="1:11" s="510" customFormat="1" ht="74.25" hidden="1" customHeight="1">
      <c r="A215" s="1059" t="s">
        <v>1760</v>
      </c>
      <c r="B215" s="1061"/>
      <c r="C215" s="789" t="s">
        <v>1544</v>
      </c>
      <c r="D215" s="789"/>
      <c r="E215" s="789" t="s">
        <v>1544</v>
      </c>
      <c r="F215" s="833" t="s">
        <v>2222</v>
      </c>
      <c r="G215" s="1048"/>
      <c r="H215" s="1100"/>
      <c r="I215" s="717">
        <v>109371</v>
      </c>
      <c r="J215" s="717"/>
      <c r="K215" s="717">
        <v>113091</v>
      </c>
    </row>
    <row r="216" spans="1:11" s="510" customFormat="1" ht="74.25" hidden="1" customHeight="1">
      <c r="A216" s="1020" t="s">
        <v>1707</v>
      </c>
      <c r="B216" s="1022"/>
      <c r="C216" s="714" t="s">
        <v>1544</v>
      </c>
      <c r="D216" s="714"/>
      <c r="E216" s="714" t="s">
        <v>1544</v>
      </c>
      <c r="F216" s="833" t="s">
        <v>2223</v>
      </c>
      <c r="G216" s="1049"/>
      <c r="H216" s="1101"/>
      <c r="I216" s="717">
        <f>K216/100*60</f>
        <v>52748.4</v>
      </c>
      <c r="J216" s="717">
        <f>K216/100*40</f>
        <v>35165.599999999999</v>
      </c>
      <c r="K216" s="717">
        <v>87914</v>
      </c>
    </row>
    <row r="217" spans="1:11" s="510" customFormat="1" ht="21.75" hidden="1" customHeight="1">
      <c r="A217" s="825"/>
      <c r="B217" s="826"/>
      <c r="C217" s="714"/>
      <c r="D217" s="714"/>
      <c r="E217" s="714"/>
      <c r="F217" s="833"/>
      <c r="G217" s="831"/>
      <c r="H217" s="832"/>
      <c r="I217" s="717"/>
      <c r="J217" s="717"/>
      <c r="K217" s="717"/>
    </row>
    <row r="218" spans="1:11" s="510" customFormat="1" ht="74.25" hidden="1" customHeight="1">
      <c r="A218" s="1008" t="s">
        <v>2482</v>
      </c>
      <c r="B218" s="1010"/>
      <c r="C218" s="818" t="s">
        <v>1544</v>
      </c>
      <c r="D218" s="818"/>
      <c r="E218" s="818" t="s">
        <v>1544</v>
      </c>
      <c r="F218" s="810"/>
      <c r="G218" s="815"/>
      <c r="H218" s="816"/>
      <c r="I218" s="817">
        <v>23361</v>
      </c>
      <c r="J218" s="817"/>
      <c r="K218" s="817">
        <f>I218+J218</f>
        <v>23361</v>
      </c>
    </row>
    <row r="219" spans="1:11" s="510" customFormat="1" ht="74.25" hidden="1" customHeight="1">
      <c r="A219" s="1096" t="s">
        <v>2483</v>
      </c>
      <c r="B219" s="1097"/>
      <c r="C219" s="814" t="s">
        <v>1544</v>
      </c>
      <c r="D219" s="814"/>
      <c r="E219" s="814" t="s">
        <v>1544</v>
      </c>
      <c r="F219" s="810"/>
      <c r="G219" s="815"/>
      <c r="H219" s="816"/>
      <c r="I219" s="817">
        <v>4384</v>
      </c>
      <c r="J219" s="817"/>
      <c r="K219" s="817">
        <f>I219+J219</f>
        <v>4384</v>
      </c>
    </row>
    <row r="220" spans="1:11" ht="73.5" hidden="1" customHeight="1">
      <c r="A220" s="1011" t="s">
        <v>312</v>
      </c>
      <c r="B220" s="1013"/>
      <c r="C220" s="709"/>
      <c r="D220" s="709"/>
      <c r="E220" s="709"/>
      <c r="F220" s="708"/>
      <c r="G220" s="709"/>
      <c r="H220" s="710"/>
      <c r="I220" s="545">
        <f>I221</f>
        <v>21394.2</v>
      </c>
      <c r="J220" s="545">
        <f>J221</f>
        <v>14262.8</v>
      </c>
      <c r="K220" s="545">
        <f>I220+J220</f>
        <v>35657</v>
      </c>
    </row>
    <row r="221" spans="1:11" s="510" customFormat="1" ht="74.25" hidden="1" customHeight="1">
      <c r="A221" s="1020" t="s">
        <v>1708</v>
      </c>
      <c r="B221" s="1022"/>
      <c r="C221" s="714" t="s">
        <v>1544</v>
      </c>
      <c r="D221" s="714"/>
      <c r="E221" s="714" t="s">
        <v>1544</v>
      </c>
      <c r="F221" s="833" t="s">
        <v>2224</v>
      </c>
      <c r="G221" s="835">
        <v>8100</v>
      </c>
      <c r="H221" s="834" t="s">
        <v>2273</v>
      </c>
      <c r="I221" s="717">
        <f>K221/100*60</f>
        <v>21394.2</v>
      </c>
      <c r="J221" s="717">
        <f>K221/100*40</f>
        <v>14262.8</v>
      </c>
      <c r="K221" s="717">
        <v>35657</v>
      </c>
    </row>
    <row r="222" spans="1:11" s="510" customFormat="1" ht="37.5" hidden="1">
      <c r="A222" s="1098" t="s">
        <v>2455</v>
      </c>
      <c r="B222" s="1098"/>
      <c r="C222" s="1098"/>
      <c r="D222" s="1098"/>
      <c r="E222" s="1098"/>
      <c r="F222" s="1098"/>
      <c r="G222" s="1098"/>
      <c r="H222" s="1098"/>
      <c r="I222" s="852"/>
      <c r="J222" s="852"/>
      <c r="K222" s="852"/>
    </row>
    <row r="223" spans="1:11" s="854" customFormat="1" ht="49.5" hidden="1" customHeight="1">
      <c r="A223" s="1098" t="s">
        <v>2456</v>
      </c>
      <c r="B223" s="1098"/>
      <c r="C223" s="1098"/>
      <c r="D223" s="1098"/>
      <c r="E223" s="1098"/>
      <c r="F223" s="1098"/>
      <c r="G223" s="1098"/>
      <c r="H223" s="1098"/>
      <c r="I223" s="757"/>
      <c r="J223" s="757"/>
      <c r="K223" s="757"/>
    </row>
    <row r="224" spans="1:11" s="510" customFormat="1" ht="27" hidden="1" customHeight="1">
      <c r="A224" s="753"/>
      <c r="B224" s="753"/>
      <c r="C224" s="754"/>
      <c r="D224" s="754"/>
      <c r="E224" s="754"/>
      <c r="F224" s="861"/>
      <c r="G224" s="758"/>
      <c r="H224" s="756"/>
      <c r="I224" s="757"/>
      <c r="J224" s="757"/>
      <c r="K224" s="757"/>
    </row>
    <row r="225" spans="1:11" s="743" customFormat="1" ht="36.75" hidden="1" customHeight="1">
      <c r="A225" s="1105"/>
      <c r="B225" s="1106"/>
      <c r="C225" s="856"/>
      <c r="D225" s="856"/>
      <c r="E225" s="857"/>
      <c r="F225" s="858"/>
      <c r="G225" s="859"/>
      <c r="H225" s="859"/>
      <c r="I225" s="860"/>
      <c r="J225" s="860"/>
      <c r="K225" s="860"/>
    </row>
    <row r="226" spans="1:11" ht="66" hidden="1" customHeight="1">
      <c r="A226" s="1031" t="s">
        <v>37</v>
      </c>
      <c r="B226" s="1033"/>
      <c r="C226" s="1037" t="s">
        <v>178</v>
      </c>
      <c r="D226" s="1037" t="s">
        <v>179</v>
      </c>
      <c r="E226" s="1037" t="s">
        <v>1521</v>
      </c>
      <c r="F226" s="1037" t="s">
        <v>14</v>
      </c>
      <c r="G226" s="1037" t="s">
        <v>1515</v>
      </c>
      <c r="H226" s="1037" t="s">
        <v>16</v>
      </c>
      <c r="I226" s="1039" t="s">
        <v>1490</v>
      </c>
      <c r="J226" s="1039" t="s">
        <v>2203</v>
      </c>
      <c r="K226" s="1037" t="s">
        <v>200</v>
      </c>
    </row>
    <row r="227" spans="1:11" s="500" customFormat="1" ht="30" hidden="1">
      <c r="A227" s="1034"/>
      <c r="B227" s="1036"/>
      <c r="C227" s="1038"/>
      <c r="D227" s="1038"/>
      <c r="E227" s="1038"/>
      <c r="F227" s="1038"/>
      <c r="G227" s="1038"/>
      <c r="H227" s="1038"/>
      <c r="I227" s="1039"/>
      <c r="J227" s="1039"/>
      <c r="K227" s="1038"/>
    </row>
    <row r="228" spans="1:11" s="500" customFormat="1" ht="74.25" hidden="1" customHeight="1">
      <c r="A228" s="1102" t="s">
        <v>1709</v>
      </c>
      <c r="B228" s="1103"/>
      <c r="C228" s="729"/>
      <c r="D228" s="729"/>
      <c r="E228" s="726"/>
      <c r="F228" s="727"/>
      <c r="G228" s="728"/>
      <c r="H228" s="728"/>
      <c r="I228" s="642">
        <f>I229+I246+I249</f>
        <v>805472</v>
      </c>
      <c r="J228" s="642">
        <f>J229+J246+J249</f>
        <v>438818</v>
      </c>
      <c r="K228" s="642">
        <f>I228+J228</f>
        <v>1244290</v>
      </c>
    </row>
    <row r="229" spans="1:11" ht="74.25" hidden="1" customHeight="1">
      <c r="A229" s="1011" t="s">
        <v>332</v>
      </c>
      <c r="B229" s="1013"/>
      <c r="C229" s="504"/>
      <c r="D229" s="709"/>
      <c r="E229" s="709"/>
      <c r="F229" s="708"/>
      <c r="G229" s="709"/>
      <c r="H229" s="710"/>
      <c r="I229" s="545">
        <f>SUM(I230:I245)</f>
        <v>644329</v>
      </c>
      <c r="J229" s="545">
        <f>SUM(J230:J245)</f>
        <v>332188</v>
      </c>
      <c r="K229" s="545">
        <f>I229+J229</f>
        <v>976517</v>
      </c>
    </row>
    <row r="230" spans="1:11" s="510" customFormat="1" ht="74.25" hidden="1" customHeight="1">
      <c r="A230" s="1059" t="s">
        <v>1753</v>
      </c>
      <c r="B230" s="1061"/>
      <c r="C230" s="789" t="s">
        <v>1727</v>
      </c>
      <c r="D230" s="789">
        <v>18</v>
      </c>
      <c r="E230" s="789" t="s">
        <v>1728</v>
      </c>
      <c r="F230" s="833" t="s">
        <v>2237</v>
      </c>
      <c r="G230" s="1047">
        <v>8100</v>
      </c>
      <c r="H230" s="1047">
        <v>169708</v>
      </c>
      <c r="I230" s="717">
        <f>120694+8056</f>
        <v>128750</v>
      </c>
      <c r="J230" s="717"/>
      <c r="K230" s="717">
        <v>120694</v>
      </c>
    </row>
    <row r="231" spans="1:11" s="510" customFormat="1" ht="74.25" hidden="1" customHeight="1">
      <c r="A231" s="1020" t="s">
        <v>1741</v>
      </c>
      <c r="B231" s="1022"/>
      <c r="C231" s="714" t="s">
        <v>1742</v>
      </c>
      <c r="D231" s="714">
        <v>4</v>
      </c>
      <c r="E231" s="714" t="s">
        <v>1729</v>
      </c>
      <c r="F231" s="1104" t="s">
        <v>2226</v>
      </c>
      <c r="G231" s="1048"/>
      <c r="H231" s="1048"/>
      <c r="I231" s="717">
        <f t="shared" ref="I231:I241" si="3">K231/100*60</f>
        <v>6900</v>
      </c>
      <c r="J231" s="717">
        <f t="shared" ref="J231:J241" si="4">K231/100*40</f>
        <v>4600</v>
      </c>
      <c r="K231" s="717">
        <v>11500</v>
      </c>
    </row>
    <row r="232" spans="1:11" s="510" customFormat="1" ht="74.25" hidden="1" customHeight="1">
      <c r="A232" s="1020" t="s">
        <v>1743</v>
      </c>
      <c r="B232" s="1022"/>
      <c r="C232" s="714" t="s">
        <v>1730</v>
      </c>
      <c r="D232" s="714">
        <v>5</v>
      </c>
      <c r="E232" s="714" t="s">
        <v>1731</v>
      </c>
      <c r="F232" s="1104"/>
      <c r="G232" s="1048"/>
      <c r="H232" s="1048"/>
      <c r="I232" s="717">
        <f t="shared" si="3"/>
        <v>10500</v>
      </c>
      <c r="J232" s="717">
        <f t="shared" si="4"/>
        <v>7000</v>
      </c>
      <c r="K232" s="717">
        <v>17500</v>
      </c>
    </row>
    <row r="233" spans="1:11" s="510" customFormat="1" ht="74.25" hidden="1" customHeight="1">
      <c r="A233" s="1020" t="s">
        <v>1744</v>
      </c>
      <c r="B233" s="1022"/>
      <c r="C233" s="714" t="s">
        <v>1732</v>
      </c>
      <c r="D233" s="714">
        <v>20</v>
      </c>
      <c r="E233" s="714" t="s">
        <v>1733</v>
      </c>
      <c r="F233" s="1104"/>
      <c r="G233" s="1048"/>
      <c r="H233" s="1048"/>
      <c r="I233" s="717">
        <f t="shared" si="3"/>
        <v>17400</v>
      </c>
      <c r="J233" s="717">
        <f t="shared" si="4"/>
        <v>11600</v>
      </c>
      <c r="K233" s="717">
        <v>29000</v>
      </c>
    </row>
    <row r="234" spans="1:11" s="510" customFormat="1" ht="74.25" hidden="1" customHeight="1">
      <c r="A234" s="1020" t="s">
        <v>1745</v>
      </c>
      <c r="B234" s="1022"/>
      <c r="C234" s="714" t="s">
        <v>1718</v>
      </c>
      <c r="D234" s="714">
        <v>3</v>
      </c>
      <c r="E234" s="714" t="s">
        <v>1731</v>
      </c>
      <c r="F234" s="1104"/>
      <c r="G234" s="1048"/>
      <c r="H234" s="1048"/>
      <c r="I234" s="717">
        <f t="shared" si="3"/>
        <v>7200</v>
      </c>
      <c r="J234" s="717">
        <f t="shared" si="4"/>
        <v>4800</v>
      </c>
      <c r="K234" s="717">
        <v>12000</v>
      </c>
    </row>
    <row r="235" spans="1:11" s="510" customFormat="1" ht="74.25" hidden="1" customHeight="1">
      <c r="A235" s="1020" t="s">
        <v>1746</v>
      </c>
      <c r="B235" s="1022"/>
      <c r="C235" s="714" t="s">
        <v>1716</v>
      </c>
      <c r="D235" s="714">
        <v>15</v>
      </c>
      <c r="E235" s="714" t="s">
        <v>1717</v>
      </c>
      <c r="F235" s="1104"/>
      <c r="G235" s="1048"/>
      <c r="H235" s="1048"/>
      <c r="I235" s="717">
        <f t="shared" si="3"/>
        <v>80400</v>
      </c>
      <c r="J235" s="717">
        <f t="shared" si="4"/>
        <v>53600</v>
      </c>
      <c r="K235" s="717">
        <v>134000</v>
      </c>
    </row>
    <row r="236" spans="1:11" s="510" customFormat="1" ht="74.25" hidden="1" customHeight="1">
      <c r="A236" s="1020" t="s">
        <v>1747</v>
      </c>
      <c r="B236" s="1022"/>
      <c r="C236" s="714" t="s">
        <v>1734</v>
      </c>
      <c r="D236" s="714">
        <v>90</v>
      </c>
      <c r="E236" s="714" t="s">
        <v>1731</v>
      </c>
      <c r="F236" s="833" t="s">
        <v>2238</v>
      </c>
      <c r="G236" s="1048"/>
      <c r="H236" s="1048"/>
      <c r="I236" s="717">
        <f t="shared" si="3"/>
        <v>48000</v>
      </c>
      <c r="J236" s="717">
        <f t="shared" si="4"/>
        <v>32000</v>
      </c>
      <c r="K236" s="717">
        <v>80000</v>
      </c>
    </row>
    <row r="237" spans="1:11" s="510" customFormat="1" ht="74.25" hidden="1" customHeight="1">
      <c r="A237" s="1020" t="s">
        <v>1748</v>
      </c>
      <c r="B237" s="1022"/>
      <c r="C237" s="714" t="s">
        <v>1735</v>
      </c>
      <c r="D237" s="714">
        <v>32</v>
      </c>
      <c r="E237" s="714" t="s">
        <v>1728</v>
      </c>
      <c r="F237" s="1104" t="s">
        <v>2239</v>
      </c>
      <c r="G237" s="1048"/>
      <c r="H237" s="1048"/>
      <c r="I237" s="717">
        <f t="shared" si="3"/>
        <v>51600</v>
      </c>
      <c r="J237" s="717">
        <f t="shared" si="4"/>
        <v>34400</v>
      </c>
      <c r="K237" s="717">
        <v>86000</v>
      </c>
    </row>
    <row r="238" spans="1:11" s="510" customFormat="1" ht="74.25" hidden="1" customHeight="1">
      <c r="A238" s="1020" t="s">
        <v>1749</v>
      </c>
      <c r="B238" s="1022"/>
      <c r="C238" s="714" t="s">
        <v>1736</v>
      </c>
      <c r="D238" s="714">
        <v>68</v>
      </c>
      <c r="E238" s="714" t="s">
        <v>1728</v>
      </c>
      <c r="F238" s="1104"/>
      <c r="G238" s="1048"/>
      <c r="H238" s="1048"/>
      <c r="I238" s="717">
        <f t="shared" si="3"/>
        <v>37200</v>
      </c>
      <c r="J238" s="717">
        <f t="shared" si="4"/>
        <v>24800</v>
      </c>
      <c r="K238" s="717">
        <v>62000</v>
      </c>
    </row>
    <row r="239" spans="1:11" s="510" customFormat="1" ht="74.25" hidden="1" customHeight="1">
      <c r="A239" s="1020" t="s">
        <v>1750</v>
      </c>
      <c r="B239" s="1022"/>
      <c r="C239" s="714" t="s">
        <v>1737</v>
      </c>
      <c r="D239" s="714">
        <v>70</v>
      </c>
      <c r="E239" s="714" t="s">
        <v>1728</v>
      </c>
      <c r="F239" s="1104"/>
      <c r="G239" s="1048"/>
      <c r="H239" s="1048"/>
      <c r="I239" s="717">
        <f>227121-34414</f>
        <v>192707</v>
      </c>
      <c r="J239" s="717">
        <f>151414-5026</f>
        <v>146388</v>
      </c>
      <c r="K239" s="717">
        <f>I239+J239</f>
        <v>339095</v>
      </c>
    </row>
    <row r="240" spans="1:11" s="510" customFormat="1" ht="74.25" hidden="1" customHeight="1">
      <c r="A240" s="1020" t="s">
        <v>1751</v>
      </c>
      <c r="B240" s="1022"/>
      <c r="C240" s="714" t="s">
        <v>1738</v>
      </c>
      <c r="D240" s="714">
        <v>20</v>
      </c>
      <c r="E240" s="714" t="s">
        <v>1728</v>
      </c>
      <c r="F240" s="1104" t="s">
        <v>2240</v>
      </c>
      <c r="G240" s="1048"/>
      <c r="H240" s="1048"/>
      <c r="I240" s="717">
        <f t="shared" si="3"/>
        <v>13800</v>
      </c>
      <c r="J240" s="717">
        <f t="shared" si="4"/>
        <v>9200</v>
      </c>
      <c r="K240" s="717">
        <v>23000</v>
      </c>
    </row>
    <row r="241" spans="1:11" s="510" customFormat="1" ht="74.25" hidden="1" customHeight="1">
      <c r="A241" s="1020" t="s">
        <v>1752</v>
      </c>
      <c r="B241" s="1022"/>
      <c r="C241" s="714" t="s">
        <v>1739</v>
      </c>
      <c r="D241" s="714">
        <v>12</v>
      </c>
      <c r="E241" s="714" t="s">
        <v>1728</v>
      </c>
      <c r="F241" s="1104"/>
      <c r="G241" s="1048"/>
      <c r="H241" s="1048"/>
      <c r="I241" s="717">
        <f t="shared" si="3"/>
        <v>5700</v>
      </c>
      <c r="J241" s="717">
        <f t="shared" si="4"/>
        <v>3800</v>
      </c>
      <c r="K241" s="717">
        <v>9500</v>
      </c>
    </row>
    <row r="242" spans="1:11" s="510" customFormat="1" ht="74.25" hidden="1" customHeight="1">
      <c r="A242" s="1020" t="s">
        <v>1754</v>
      </c>
      <c r="B242" s="1022"/>
      <c r="C242" s="714" t="s">
        <v>1740</v>
      </c>
      <c r="D242" s="714">
        <v>2</v>
      </c>
      <c r="E242" s="714" t="s">
        <v>1728</v>
      </c>
      <c r="F242" s="1104"/>
      <c r="G242" s="1049"/>
      <c r="H242" s="1049"/>
      <c r="I242" s="717">
        <v>20000</v>
      </c>
      <c r="J242" s="717"/>
      <c r="K242" s="717">
        <v>20000</v>
      </c>
    </row>
    <row r="243" spans="1:11" s="510" customFormat="1" ht="24" hidden="1" customHeight="1">
      <c r="A243" s="825"/>
      <c r="B243" s="826"/>
      <c r="C243" s="714"/>
      <c r="D243" s="714"/>
      <c r="E243" s="714"/>
      <c r="F243" s="833"/>
      <c r="G243" s="831"/>
      <c r="H243" s="831"/>
      <c r="I243" s="717"/>
      <c r="J243" s="717"/>
      <c r="K243" s="717"/>
    </row>
    <row r="244" spans="1:11" s="510" customFormat="1" ht="74.25" hidden="1" customHeight="1">
      <c r="A244" s="1008" t="s">
        <v>2481</v>
      </c>
      <c r="B244" s="1010"/>
      <c r="C244" s="818"/>
      <c r="D244" s="818"/>
      <c r="E244" s="818"/>
      <c r="F244" s="810"/>
      <c r="G244" s="815"/>
      <c r="H244" s="815"/>
      <c r="I244" s="817">
        <v>20352</v>
      </c>
      <c r="J244" s="817"/>
      <c r="K244" s="817">
        <f>I244+J244</f>
        <v>20352</v>
      </c>
    </row>
    <row r="245" spans="1:11" s="510" customFormat="1" ht="74.25" hidden="1" customHeight="1">
      <c r="A245" s="1096" t="s">
        <v>2480</v>
      </c>
      <c r="B245" s="1097"/>
      <c r="C245" s="814"/>
      <c r="D245" s="814"/>
      <c r="E245" s="814"/>
      <c r="F245" s="810"/>
      <c r="G245" s="815"/>
      <c r="H245" s="815"/>
      <c r="I245" s="817">
        <v>3820</v>
      </c>
      <c r="J245" s="817"/>
      <c r="K245" s="817">
        <v>120694</v>
      </c>
    </row>
    <row r="246" spans="1:11" ht="74.25" hidden="1" customHeight="1">
      <c r="A246" s="1011" t="s">
        <v>481</v>
      </c>
      <c r="B246" s="1013"/>
      <c r="C246" s="504"/>
      <c r="D246" s="709"/>
      <c r="E246" s="709"/>
      <c r="F246" s="708"/>
      <c r="G246" s="709"/>
      <c r="H246" s="710"/>
      <c r="I246" s="545">
        <f>SUM(I247:I248)</f>
        <v>157196</v>
      </c>
      <c r="J246" s="545">
        <f>SUM(J247:J248)</f>
        <v>103915</v>
      </c>
      <c r="K246" s="545">
        <f t="shared" ref="K246:K251" si="5">I246+J246</f>
        <v>261111</v>
      </c>
    </row>
    <row r="247" spans="1:11" s="510" customFormat="1" ht="74.25" hidden="1" customHeight="1">
      <c r="A247" s="1020" t="s">
        <v>1755</v>
      </c>
      <c r="B247" s="1022"/>
      <c r="C247" s="714" t="s">
        <v>1756</v>
      </c>
      <c r="D247" s="714">
        <v>100</v>
      </c>
      <c r="E247" s="714" t="s">
        <v>1731</v>
      </c>
      <c r="F247" s="833" t="s">
        <v>2228</v>
      </c>
      <c r="G247" s="834" t="s">
        <v>1321</v>
      </c>
      <c r="H247" s="834" t="s">
        <v>2451</v>
      </c>
      <c r="I247" s="717">
        <v>150985</v>
      </c>
      <c r="J247" s="717">
        <v>103915</v>
      </c>
      <c r="K247" s="717">
        <f t="shared" si="5"/>
        <v>254900</v>
      </c>
    </row>
    <row r="248" spans="1:11" s="510" customFormat="1" ht="74.25" hidden="1" customHeight="1">
      <c r="A248" s="1008" t="s">
        <v>2479</v>
      </c>
      <c r="B248" s="1010"/>
      <c r="C248" s="818"/>
      <c r="D248" s="818"/>
      <c r="E248" s="818"/>
      <c r="F248" s="810"/>
      <c r="G248" s="812"/>
      <c r="H248" s="812"/>
      <c r="I248" s="817">
        <v>6211</v>
      </c>
      <c r="J248" s="817"/>
      <c r="K248" s="817">
        <f t="shared" si="5"/>
        <v>6211</v>
      </c>
    </row>
    <row r="249" spans="1:11" ht="74.25" hidden="1" customHeight="1">
      <c r="A249" s="1011" t="s">
        <v>1248</v>
      </c>
      <c r="B249" s="1107"/>
      <c r="C249" s="504"/>
      <c r="D249" s="709"/>
      <c r="E249" s="709"/>
      <c r="F249" s="708"/>
      <c r="G249" s="709"/>
      <c r="H249" s="710"/>
      <c r="I249" s="545">
        <f>SUM(I250:I251)</f>
        <v>3947</v>
      </c>
      <c r="J249" s="545">
        <f>SUM(J250:J251)</f>
        <v>2715</v>
      </c>
      <c r="K249" s="545">
        <f t="shared" si="5"/>
        <v>6662</v>
      </c>
    </row>
    <row r="250" spans="1:11" s="510" customFormat="1" ht="74.25" hidden="1" customHeight="1">
      <c r="A250" s="1020" t="s">
        <v>1757</v>
      </c>
      <c r="B250" s="1022"/>
      <c r="C250" s="714" t="s">
        <v>1756</v>
      </c>
      <c r="D250" s="714">
        <v>2</v>
      </c>
      <c r="E250" s="714" t="s">
        <v>1731</v>
      </c>
      <c r="F250" s="1044" t="s">
        <v>2227</v>
      </c>
      <c r="G250" s="1099" t="s">
        <v>1321</v>
      </c>
      <c r="H250" s="1099" t="s">
        <v>2447</v>
      </c>
      <c r="I250" s="717">
        <v>1656</v>
      </c>
      <c r="J250" s="717">
        <v>1139</v>
      </c>
      <c r="K250" s="717">
        <f t="shared" si="5"/>
        <v>2795</v>
      </c>
    </row>
    <row r="251" spans="1:11" s="510" customFormat="1" ht="74.25" hidden="1" customHeight="1">
      <c r="A251" s="1020" t="s">
        <v>1758</v>
      </c>
      <c r="B251" s="1022"/>
      <c r="C251" s="714" t="s">
        <v>1734</v>
      </c>
      <c r="D251" s="714">
        <v>5</v>
      </c>
      <c r="E251" s="714" t="s">
        <v>1731</v>
      </c>
      <c r="F251" s="1046"/>
      <c r="G251" s="1101"/>
      <c r="H251" s="1101"/>
      <c r="I251" s="717">
        <v>2291</v>
      </c>
      <c r="J251" s="717">
        <v>1576</v>
      </c>
      <c r="K251" s="717">
        <f t="shared" si="5"/>
        <v>3867</v>
      </c>
    </row>
    <row r="252" spans="1:11" s="510" customFormat="1" ht="74.25" hidden="1" customHeight="1">
      <c r="A252" s="753"/>
      <c r="B252" s="753"/>
      <c r="C252" s="754"/>
      <c r="D252" s="754"/>
      <c r="E252" s="754"/>
      <c r="F252" s="755"/>
      <c r="G252" s="756"/>
      <c r="H252" s="756"/>
      <c r="I252" s="757"/>
      <c r="J252" s="757"/>
      <c r="K252" s="757"/>
    </row>
    <row r="253" spans="1:11" s="510" customFormat="1" ht="74.25" hidden="1" customHeight="1">
      <c r="A253" s="753"/>
      <c r="B253" s="753"/>
      <c r="C253" s="754"/>
      <c r="D253" s="754"/>
      <c r="E253" s="754"/>
      <c r="F253" s="755"/>
      <c r="G253" s="756"/>
      <c r="H253" s="756"/>
      <c r="I253" s="757"/>
      <c r="J253" s="757"/>
      <c r="K253" s="757"/>
    </row>
    <row r="254" spans="1:11" s="510" customFormat="1" ht="74.25" hidden="1" customHeight="1">
      <c r="A254" s="753"/>
      <c r="B254" s="753"/>
      <c r="C254" s="754"/>
      <c r="D254" s="754"/>
      <c r="E254" s="754"/>
      <c r="F254" s="755"/>
      <c r="G254" s="756"/>
      <c r="H254" s="756"/>
      <c r="I254" s="757"/>
      <c r="J254" s="757"/>
      <c r="K254" s="757"/>
    </row>
    <row r="255" spans="1:11" ht="45">
      <c r="A255" s="979" t="s">
        <v>2493</v>
      </c>
      <c r="B255" s="979"/>
      <c r="C255" s="979"/>
      <c r="D255" s="979"/>
      <c r="E255" s="979"/>
      <c r="F255" s="979"/>
      <c r="G255" s="979"/>
      <c r="H255" s="979"/>
      <c r="I255" s="979"/>
      <c r="J255" s="979"/>
      <c r="K255" s="979"/>
    </row>
    <row r="256" spans="1:11" ht="45">
      <c r="A256" s="979" t="s">
        <v>52</v>
      </c>
      <c r="B256" s="979"/>
      <c r="C256" s="979"/>
      <c r="D256" s="979"/>
      <c r="E256" s="979"/>
      <c r="F256" s="979"/>
      <c r="G256" s="979"/>
      <c r="H256" s="979"/>
      <c r="I256" s="979"/>
      <c r="J256" s="979"/>
      <c r="K256" s="979"/>
    </row>
    <row r="257" spans="1:11" ht="45">
      <c r="A257" s="1040" t="s">
        <v>50</v>
      </c>
      <c r="B257" s="1040"/>
      <c r="C257" s="1040"/>
      <c r="D257" s="1040"/>
      <c r="E257" s="1040"/>
      <c r="F257" s="1040"/>
      <c r="G257" s="1040"/>
      <c r="H257" s="1040"/>
      <c r="I257" s="1040"/>
      <c r="J257" s="1040"/>
      <c r="K257" s="1040"/>
    </row>
    <row r="258" spans="1:11" ht="44.25">
      <c r="A258" s="736"/>
      <c r="B258" s="736"/>
      <c r="C258" s="736"/>
      <c r="D258" s="736"/>
      <c r="E258" s="736"/>
      <c r="F258" s="736"/>
      <c r="G258" s="838"/>
      <c r="H258" s="838"/>
      <c r="I258" s="838"/>
      <c r="J258" s="838"/>
      <c r="K258" s="838"/>
    </row>
    <row r="259" spans="1:11" ht="45">
      <c r="A259" s="979" t="s">
        <v>1489</v>
      </c>
      <c r="B259" s="979"/>
      <c r="C259" s="979"/>
      <c r="D259" s="979"/>
      <c r="E259" s="979"/>
      <c r="F259" s="979"/>
      <c r="G259" s="979"/>
      <c r="H259" s="979"/>
      <c r="I259" s="979"/>
      <c r="J259" s="979"/>
      <c r="K259" s="979"/>
    </row>
    <row r="260" spans="1:11" s="620" customFormat="1" ht="33">
      <c r="A260" s="65"/>
      <c r="B260" s="65"/>
      <c r="C260" s="65"/>
      <c r="D260" s="65"/>
      <c r="E260" s="65"/>
      <c r="F260" s="65"/>
      <c r="G260" s="68"/>
      <c r="H260" s="68"/>
      <c r="I260" s="68"/>
      <c r="J260" s="68"/>
      <c r="K260" s="68"/>
    </row>
    <row r="261" spans="1:11" ht="20.100000000000001" customHeight="1">
      <c r="A261" s="65"/>
      <c r="B261" s="65"/>
      <c r="C261" s="65"/>
      <c r="D261" s="65"/>
      <c r="E261" s="65"/>
      <c r="F261" s="65"/>
      <c r="G261" s="68"/>
      <c r="H261" s="68"/>
      <c r="I261" s="68"/>
      <c r="J261" s="68"/>
      <c r="K261" s="68"/>
    </row>
    <row r="262" spans="1:11" ht="20.100000000000001" customHeight="1">
      <c r="A262" s="979"/>
      <c r="B262" s="979"/>
      <c r="C262" s="979"/>
      <c r="D262" s="979"/>
      <c r="E262" s="979"/>
      <c r="F262" s="979"/>
      <c r="G262" s="979"/>
      <c r="H262" s="979"/>
      <c r="I262" s="979"/>
      <c r="J262" s="979"/>
      <c r="K262" s="979"/>
    </row>
    <row r="263" spans="1:11" ht="45.75" customHeight="1">
      <c r="A263" s="1030" t="s">
        <v>1381</v>
      </c>
      <c r="B263" s="1030"/>
      <c r="C263" s="1030"/>
      <c r="D263" s="1030"/>
      <c r="E263" s="1030"/>
      <c r="F263" s="1030"/>
      <c r="G263" s="1030"/>
      <c r="H263" s="1030"/>
      <c r="I263" s="1030"/>
      <c r="J263" s="1030"/>
      <c r="K263" s="1030"/>
    </row>
    <row r="264" spans="1:11" s="902" customFormat="1" ht="66" customHeight="1">
      <c r="A264" s="1111" t="s">
        <v>37</v>
      </c>
      <c r="B264" s="1112"/>
      <c r="C264" s="983" t="s">
        <v>178</v>
      </c>
      <c r="D264" s="983" t="s">
        <v>179</v>
      </c>
      <c r="E264" s="983" t="s">
        <v>1521</v>
      </c>
      <c r="F264" s="983" t="s">
        <v>14</v>
      </c>
      <c r="G264" s="983" t="s">
        <v>1515</v>
      </c>
      <c r="H264" s="983" t="s">
        <v>16</v>
      </c>
      <c r="I264" s="1108" t="s">
        <v>1490</v>
      </c>
      <c r="J264" s="1108" t="s">
        <v>2506</v>
      </c>
      <c r="K264" s="983" t="s">
        <v>200</v>
      </c>
    </row>
    <row r="265" spans="1:11" s="900" customFormat="1" ht="48.75" customHeight="1">
      <c r="A265" s="1113"/>
      <c r="B265" s="1114"/>
      <c r="C265" s="984"/>
      <c r="D265" s="984"/>
      <c r="E265" s="984"/>
      <c r="F265" s="984"/>
      <c r="G265" s="984"/>
      <c r="H265" s="984"/>
      <c r="I265" s="1108"/>
      <c r="J265" s="1108"/>
      <c r="K265" s="984"/>
    </row>
    <row r="266" spans="1:11" s="900" customFormat="1" ht="120" customHeight="1">
      <c r="A266" s="1109" t="s">
        <v>1803</v>
      </c>
      <c r="B266" s="1110"/>
      <c r="C266" s="921"/>
      <c r="D266" s="921"/>
      <c r="E266" s="922"/>
      <c r="F266" s="923"/>
      <c r="G266" s="924"/>
      <c r="H266" s="924"/>
      <c r="I266" s="920">
        <f>I269+I278+I267</f>
        <v>148380</v>
      </c>
      <c r="J266" s="920">
        <f>J269+J278+J267</f>
        <v>98920</v>
      </c>
      <c r="K266" s="920">
        <f>I266+J266</f>
        <v>247300</v>
      </c>
    </row>
    <row r="267" spans="1:11" s="927" customFormat="1" ht="120" customHeight="1">
      <c r="A267" s="1070" t="s">
        <v>2251</v>
      </c>
      <c r="B267" s="1115"/>
      <c r="C267" s="1115"/>
      <c r="D267" s="1115"/>
      <c r="E267" s="1115"/>
      <c r="F267" s="1071"/>
      <c r="G267" s="925"/>
      <c r="H267" s="926"/>
      <c r="I267" s="871">
        <f>I268</f>
        <v>57310.799999999996</v>
      </c>
      <c r="J267" s="871">
        <f>J268</f>
        <v>38207.199999999997</v>
      </c>
      <c r="K267" s="871">
        <f>I267+J267</f>
        <v>95518</v>
      </c>
    </row>
    <row r="268" spans="1:11" s="901" customFormat="1" ht="120" customHeight="1">
      <c r="A268" s="1068" t="s">
        <v>1804</v>
      </c>
      <c r="B268" s="1069"/>
      <c r="C268" s="928" t="s">
        <v>1544</v>
      </c>
      <c r="D268" s="928"/>
      <c r="E268" s="928" t="s">
        <v>1544</v>
      </c>
      <c r="F268" s="842" t="s">
        <v>2252</v>
      </c>
      <c r="G268" s="929">
        <v>8100</v>
      </c>
      <c r="H268" s="930" t="s">
        <v>2273</v>
      </c>
      <c r="I268" s="873">
        <f>K268/100*60</f>
        <v>57310.799999999996</v>
      </c>
      <c r="J268" s="873">
        <f>K268/100*40</f>
        <v>38207.199999999997</v>
      </c>
      <c r="K268" s="873">
        <v>95518</v>
      </c>
    </row>
    <row r="269" spans="1:11" s="902" customFormat="1" ht="120" customHeight="1">
      <c r="A269" s="1070" t="s">
        <v>1541</v>
      </c>
      <c r="B269" s="1071"/>
      <c r="C269" s="925"/>
      <c r="D269" s="925"/>
      <c r="E269" s="925"/>
      <c r="F269" s="931"/>
      <c r="G269" s="925"/>
      <c r="H269" s="926"/>
      <c r="I269" s="871">
        <f>SUM(I270:I277)</f>
        <v>74269.2</v>
      </c>
      <c r="J269" s="871">
        <f>SUM(J270:J277)</f>
        <v>49512.800000000003</v>
      </c>
      <c r="K269" s="871">
        <f>I269+J269</f>
        <v>123782</v>
      </c>
    </row>
    <row r="270" spans="1:11" s="901" customFormat="1" ht="90" customHeight="1">
      <c r="A270" s="1068" t="s">
        <v>1842</v>
      </c>
      <c r="B270" s="1069"/>
      <c r="C270" s="928" t="s">
        <v>1544</v>
      </c>
      <c r="D270" s="928"/>
      <c r="E270" s="928" t="s">
        <v>1544</v>
      </c>
      <c r="F270" s="840" t="s">
        <v>2229</v>
      </c>
      <c r="G270" s="1072">
        <v>8100</v>
      </c>
      <c r="H270" s="1075" t="s">
        <v>2273</v>
      </c>
      <c r="I270" s="873">
        <f t="shared" ref="I270:I277" si="6">K270/100*60</f>
        <v>19200</v>
      </c>
      <c r="J270" s="873">
        <f t="shared" ref="J270:J277" si="7">K270/100*40</f>
        <v>12800</v>
      </c>
      <c r="K270" s="873">
        <v>32000</v>
      </c>
    </row>
    <row r="271" spans="1:11" s="901" customFormat="1" ht="90" customHeight="1">
      <c r="A271" s="1068" t="s">
        <v>807</v>
      </c>
      <c r="B271" s="1069"/>
      <c r="C271" s="928" t="s">
        <v>1544</v>
      </c>
      <c r="D271" s="928"/>
      <c r="E271" s="928" t="s">
        <v>1544</v>
      </c>
      <c r="F271" s="842" t="s">
        <v>2236</v>
      </c>
      <c r="G271" s="1073"/>
      <c r="H271" s="1076"/>
      <c r="I271" s="873">
        <f t="shared" si="6"/>
        <v>1200</v>
      </c>
      <c r="J271" s="873">
        <f t="shared" si="7"/>
        <v>800</v>
      </c>
      <c r="K271" s="873">
        <v>2000</v>
      </c>
    </row>
    <row r="272" spans="1:11" s="901" customFormat="1" ht="90" customHeight="1">
      <c r="A272" s="1068" t="s">
        <v>1546</v>
      </c>
      <c r="B272" s="1069"/>
      <c r="C272" s="928" t="s">
        <v>1544</v>
      </c>
      <c r="D272" s="928"/>
      <c r="E272" s="928" t="s">
        <v>1544</v>
      </c>
      <c r="F272" s="840" t="s">
        <v>2230</v>
      </c>
      <c r="G272" s="1073"/>
      <c r="H272" s="1076"/>
      <c r="I272" s="873">
        <f t="shared" si="6"/>
        <v>14400</v>
      </c>
      <c r="J272" s="873">
        <f t="shared" si="7"/>
        <v>9600</v>
      </c>
      <c r="K272" s="873">
        <v>24000</v>
      </c>
    </row>
    <row r="273" spans="1:11" s="901" customFormat="1" ht="90" customHeight="1">
      <c r="A273" s="1068" t="s">
        <v>1568</v>
      </c>
      <c r="B273" s="1069"/>
      <c r="C273" s="928" t="s">
        <v>1544</v>
      </c>
      <c r="D273" s="928"/>
      <c r="E273" s="928" t="s">
        <v>1544</v>
      </c>
      <c r="F273" s="1044" t="s">
        <v>2231</v>
      </c>
      <c r="G273" s="1073"/>
      <c r="H273" s="1076"/>
      <c r="I273" s="873">
        <f t="shared" si="6"/>
        <v>24769.200000000001</v>
      </c>
      <c r="J273" s="873">
        <f t="shared" si="7"/>
        <v>16512.8</v>
      </c>
      <c r="K273" s="873">
        <v>41282</v>
      </c>
    </row>
    <row r="274" spans="1:11" s="901" customFormat="1" ht="90" customHeight="1">
      <c r="A274" s="1068" t="s">
        <v>804</v>
      </c>
      <c r="B274" s="1069"/>
      <c r="C274" s="928" t="s">
        <v>1544</v>
      </c>
      <c r="D274" s="928"/>
      <c r="E274" s="928" t="s">
        <v>1544</v>
      </c>
      <c r="F274" s="1116"/>
      <c r="G274" s="1073"/>
      <c r="H274" s="1076"/>
      <c r="I274" s="873">
        <f t="shared" si="6"/>
        <v>5400</v>
      </c>
      <c r="J274" s="873">
        <f t="shared" si="7"/>
        <v>3600</v>
      </c>
      <c r="K274" s="873">
        <v>9000</v>
      </c>
    </row>
    <row r="275" spans="1:11" s="901" customFormat="1" ht="90" customHeight="1">
      <c r="A275" s="1068" t="s">
        <v>461</v>
      </c>
      <c r="B275" s="1069"/>
      <c r="C275" s="928" t="s">
        <v>1544</v>
      </c>
      <c r="D275" s="928"/>
      <c r="E275" s="928" t="s">
        <v>1544</v>
      </c>
      <c r="F275" s="1116"/>
      <c r="G275" s="1073"/>
      <c r="H275" s="1076"/>
      <c r="I275" s="873">
        <f t="shared" si="6"/>
        <v>3300</v>
      </c>
      <c r="J275" s="873">
        <f t="shared" si="7"/>
        <v>2200</v>
      </c>
      <c r="K275" s="873">
        <v>5500</v>
      </c>
    </row>
    <row r="276" spans="1:11" s="901" customFormat="1" ht="90" customHeight="1">
      <c r="A276" s="1068" t="s">
        <v>805</v>
      </c>
      <c r="B276" s="1069"/>
      <c r="C276" s="928" t="s">
        <v>1544</v>
      </c>
      <c r="D276" s="928"/>
      <c r="E276" s="928" t="s">
        <v>1544</v>
      </c>
      <c r="F276" s="1116"/>
      <c r="G276" s="1073"/>
      <c r="H276" s="1076"/>
      <c r="I276" s="873">
        <f t="shared" si="6"/>
        <v>3000</v>
      </c>
      <c r="J276" s="873">
        <f t="shared" si="7"/>
        <v>2000</v>
      </c>
      <c r="K276" s="873">
        <v>5000</v>
      </c>
    </row>
    <row r="277" spans="1:11" s="901" customFormat="1" ht="90" customHeight="1">
      <c r="A277" s="1068" t="s">
        <v>806</v>
      </c>
      <c r="B277" s="1069"/>
      <c r="C277" s="928" t="s">
        <v>1544</v>
      </c>
      <c r="D277" s="928"/>
      <c r="E277" s="928" t="s">
        <v>1544</v>
      </c>
      <c r="F277" s="1117"/>
      <c r="G277" s="1073"/>
      <c r="H277" s="1076"/>
      <c r="I277" s="873">
        <f t="shared" si="6"/>
        <v>3000</v>
      </c>
      <c r="J277" s="873">
        <f t="shared" si="7"/>
        <v>2000</v>
      </c>
      <c r="K277" s="873">
        <v>5000</v>
      </c>
    </row>
    <row r="278" spans="1:11" s="902" customFormat="1" ht="120" customHeight="1">
      <c r="A278" s="1070" t="s">
        <v>312</v>
      </c>
      <c r="B278" s="1071"/>
      <c r="C278" s="925"/>
      <c r="D278" s="925"/>
      <c r="E278" s="925"/>
      <c r="F278" s="931"/>
      <c r="G278" s="925"/>
      <c r="H278" s="926"/>
      <c r="I278" s="871">
        <f>SUM(I279:I279)</f>
        <v>16800</v>
      </c>
      <c r="J278" s="871">
        <f>SUM(J279:J279)</f>
        <v>11200</v>
      </c>
      <c r="K278" s="871">
        <f>SUM(K279:K279)</f>
        <v>28000</v>
      </c>
    </row>
    <row r="279" spans="1:11" s="901" customFormat="1" ht="120" customHeight="1">
      <c r="A279" s="1068" t="s">
        <v>1843</v>
      </c>
      <c r="B279" s="1069"/>
      <c r="C279" s="928" t="s">
        <v>1544</v>
      </c>
      <c r="D279" s="928"/>
      <c r="E279" s="928" t="s">
        <v>1544</v>
      </c>
      <c r="F279" s="842" t="s">
        <v>2224</v>
      </c>
      <c r="G279" s="929">
        <v>8100</v>
      </c>
      <c r="H279" s="932" t="s">
        <v>2273</v>
      </c>
      <c r="I279" s="873">
        <f>K279/100*60</f>
        <v>16800</v>
      </c>
      <c r="J279" s="873">
        <f>K279/100*40</f>
        <v>11200</v>
      </c>
      <c r="K279" s="873">
        <v>28000</v>
      </c>
    </row>
    <row r="280" spans="1:11" s="743" customFormat="1" ht="36.75" customHeight="1">
      <c r="A280" s="1135"/>
      <c r="B280" s="1136"/>
      <c r="C280" s="738"/>
      <c r="D280" s="738"/>
      <c r="E280" s="739"/>
      <c r="F280" s="740"/>
      <c r="G280" s="741"/>
      <c r="H280" s="741"/>
      <c r="I280" s="742"/>
      <c r="J280" s="742"/>
      <c r="K280" s="742"/>
    </row>
    <row r="281" spans="1:11" s="902" customFormat="1" ht="66" customHeight="1">
      <c r="A281" s="1111" t="s">
        <v>37</v>
      </c>
      <c r="B281" s="1112"/>
      <c r="C281" s="983" t="s">
        <v>178</v>
      </c>
      <c r="D281" s="983" t="s">
        <v>179</v>
      </c>
      <c r="E281" s="983" t="s">
        <v>1521</v>
      </c>
      <c r="F281" s="983" t="s">
        <v>14</v>
      </c>
      <c r="G281" s="983" t="s">
        <v>1515</v>
      </c>
      <c r="H281" s="983" t="s">
        <v>16</v>
      </c>
      <c r="I281" s="1108" t="s">
        <v>1490</v>
      </c>
      <c r="J281" s="1108" t="s">
        <v>2506</v>
      </c>
      <c r="K281" s="983" t="s">
        <v>200</v>
      </c>
    </row>
    <row r="282" spans="1:11" s="900" customFormat="1" ht="67.5" customHeight="1">
      <c r="A282" s="1113"/>
      <c r="B282" s="1114"/>
      <c r="C282" s="984"/>
      <c r="D282" s="984"/>
      <c r="E282" s="984"/>
      <c r="F282" s="984"/>
      <c r="G282" s="984"/>
      <c r="H282" s="984"/>
      <c r="I282" s="1108"/>
      <c r="J282" s="1108"/>
      <c r="K282" s="984"/>
    </row>
    <row r="283" spans="1:11" s="900" customFormat="1" ht="81.75" customHeight="1">
      <c r="A283" s="1109" t="s">
        <v>1711</v>
      </c>
      <c r="B283" s="1110"/>
      <c r="C283" s="921"/>
      <c r="D283" s="921"/>
      <c r="E283" s="922"/>
      <c r="F283" s="923"/>
      <c r="G283" s="924"/>
      <c r="H283" s="924"/>
      <c r="I283" s="920">
        <f>I284+I299+I302</f>
        <v>908290</v>
      </c>
      <c r="J283" s="920">
        <f>J284+J299+J302</f>
        <v>552680</v>
      </c>
      <c r="K283" s="920">
        <f>I283+J283</f>
        <v>1460970</v>
      </c>
    </row>
    <row r="284" spans="1:11" s="902" customFormat="1" ht="81.75" customHeight="1">
      <c r="A284" s="1070" t="s">
        <v>332</v>
      </c>
      <c r="B284" s="1071"/>
      <c r="C284" s="925"/>
      <c r="D284" s="925"/>
      <c r="E284" s="925"/>
      <c r="F284" s="931"/>
      <c r="G284" s="925"/>
      <c r="H284" s="926"/>
      <c r="I284" s="871">
        <f>SUM(I285:I298)</f>
        <v>718666</v>
      </c>
      <c r="J284" s="871">
        <f>SUM(J285:J298)</f>
        <v>427202</v>
      </c>
      <c r="K284" s="871">
        <f>I284+J284</f>
        <v>1145868</v>
      </c>
    </row>
    <row r="285" spans="1:11" s="901" customFormat="1" ht="115.5" customHeight="1">
      <c r="A285" s="1118" t="s">
        <v>1779</v>
      </c>
      <c r="B285" s="1119"/>
      <c r="C285" s="935" t="s">
        <v>1727</v>
      </c>
      <c r="D285" s="935">
        <v>18</v>
      </c>
      <c r="E285" s="935" t="s">
        <v>1728</v>
      </c>
      <c r="F285" s="840" t="s">
        <v>2237</v>
      </c>
      <c r="G285" s="1072">
        <v>8100</v>
      </c>
      <c r="H285" s="1075" t="s">
        <v>2446</v>
      </c>
      <c r="I285" s="873">
        <f>73439+4900</f>
        <v>78339</v>
      </c>
      <c r="J285" s="873"/>
      <c r="K285" s="873">
        <f>I285+J285</f>
        <v>78339</v>
      </c>
    </row>
    <row r="286" spans="1:11" s="901" customFormat="1" ht="115.5" customHeight="1">
      <c r="A286" s="1068" t="s">
        <v>1769</v>
      </c>
      <c r="B286" s="1069"/>
      <c r="C286" s="928" t="s">
        <v>1730</v>
      </c>
      <c r="D286" s="928">
        <v>5</v>
      </c>
      <c r="E286" s="928" t="s">
        <v>1731</v>
      </c>
      <c r="F286" s="1044" t="s">
        <v>2226</v>
      </c>
      <c r="G286" s="1073"/>
      <c r="H286" s="1076"/>
      <c r="I286" s="873">
        <f t="shared" ref="I286:I295" si="8">K286/100*60</f>
        <v>10500</v>
      </c>
      <c r="J286" s="873">
        <f t="shared" ref="J286:J295" si="9">K286/100*40</f>
        <v>7000</v>
      </c>
      <c r="K286" s="873">
        <v>17500</v>
      </c>
    </row>
    <row r="287" spans="1:11" s="901" customFormat="1" ht="115.5" customHeight="1">
      <c r="A287" s="1068" t="s">
        <v>1770</v>
      </c>
      <c r="B287" s="1069"/>
      <c r="C287" s="928" t="s">
        <v>1732</v>
      </c>
      <c r="D287" s="928">
        <v>10</v>
      </c>
      <c r="E287" s="928" t="s">
        <v>1733</v>
      </c>
      <c r="F287" s="1045"/>
      <c r="G287" s="1073"/>
      <c r="H287" s="1076"/>
      <c r="I287" s="873">
        <f t="shared" si="8"/>
        <v>21000</v>
      </c>
      <c r="J287" s="873">
        <f t="shared" si="9"/>
        <v>14000</v>
      </c>
      <c r="K287" s="873">
        <v>35000</v>
      </c>
    </row>
    <row r="288" spans="1:11" s="901" customFormat="1" ht="115.5" customHeight="1">
      <c r="A288" s="1068" t="s">
        <v>1775</v>
      </c>
      <c r="B288" s="1069"/>
      <c r="C288" s="928" t="s">
        <v>1716</v>
      </c>
      <c r="D288" s="928">
        <v>15</v>
      </c>
      <c r="E288" s="928" t="s">
        <v>1717</v>
      </c>
      <c r="F288" s="1046"/>
      <c r="G288" s="1073"/>
      <c r="H288" s="1076"/>
      <c r="I288" s="873">
        <f>K288/100*60</f>
        <v>80400</v>
      </c>
      <c r="J288" s="873">
        <f>K288/100*40</f>
        <v>53600</v>
      </c>
      <c r="K288" s="873">
        <v>134000</v>
      </c>
    </row>
    <row r="289" spans="1:11" s="901" customFormat="1" ht="115.5" customHeight="1">
      <c r="A289" s="1068" t="s">
        <v>1771</v>
      </c>
      <c r="B289" s="1069"/>
      <c r="C289" s="928" t="s">
        <v>1734</v>
      </c>
      <c r="D289" s="928">
        <v>90</v>
      </c>
      <c r="E289" s="928" t="s">
        <v>1728</v>
      </c>
      <c r="F289" s="842" t="s">
        <v>2238</v>
      </c>
      <c r="G289" s="1073"/>
      <c r="H289" s="1076"/>
      <c r="I289" s="873">
        <f t="shared" si="8"/>
        <v>48000</v>
      </c>
      <c r="J289" s="873">
        <f t="shared" si="9"/>
        <v>32000</v>
      </c>
      <c r="K289" s="873">
        <v>80000</v>
      </c>
    </row>
    <row r="290" spans="1:11" s="901" customFormat="1" ht="115.5" customHeight="1">
      <c r="A290" s="1068" t="s">
        <v>1772</v>
      </c>
      <c r="B290" s="1069"/>
      <c r="C290" s="928" t="s">
        <v>1735</v>
      </c>
      <c r="D290" s="928">
        <v>32</v>
      </c>
      <c r="E290" s="928" t="s">
        <v>1728</v>
      </c>
      <c r="F290" s="1104" t="s">
        <v>2239</v>
      </c>
      <c r="G290" s="1073"/>
      <c r="H290" s="1076"/>
      <c r="I290" s="873">
        <f t="shared" si="8"/>
        <v>51600</v>
      </c>
      <c r="J290" s="873">
        <f t="shared" si="9"/>
        <v>34400</v>
      </c>
      <c r="K290" s="873">
        <v>86000</v>
      </c>
    </row>
    <row r="291" spans="1:11" s="901" customFormat="1" ht="115.5" customHeight="1">
      <c r="A291" s="1068" t="s">
        <v>1773</v>
      </c>
      <c r="B291" s="1069"/>
      <c r="C291" s="928" t="s">
        <v>1736</v>
      </c>
      <c r="D291" s="928">
        <v>68</v>
      </c>
      <c r="E291" s="928" t="s">
        <v>1728</v>
      </c>
      <c r="F291" s="1104"/>
      <c r="G291" s="1073"/>
      <c r="H291" s="1076"/>
      <c r="I291" s="873">
        <f t="shared" si="8"/>
        <v>37200</v>
      </c>
      <c r="J291" s="873">
        <f t="shared" si="9"/>
        <v>24800</v>
      </c>
      <c r="K291" s="873">
        <v>62000</v>
      </c>
    </row>
    <row r="292" spans="1:11" s="901" customFormat="1" ht="115.5" customHeight="1">
      <c r="A292" s="1068" t="s">
        <v>1774</v>
      </c>
      <c r="B292" s="1069"/>
      <c r="C292" s="928" t="s">
        <v>1737</v>
      </c>
      <c r="D292" s="928">
        <v>70</v>
      </c>
      <c r="E292" s="928" t="s">
        <v>1728</v>
      </c>
      <c r="F292" s="1104"/>
      <c r="G292" s="1073"/>
      <c r="H292" s="1076"/>
      <c r="I292" s="873">
        <f>191236-38536</f>
        <v>152700</v>
      </c>
      <c r="J292" s="873">
        <f>127490-6464</f>
        <v>121026</v>
      </c>
      <c r="K292" s="873">
        <f>I292+J292</f>
        <v>273726</v>
      </c>
    </row>
    <row r="293" spans="1:11" s="901" customFormat="1" ht="115.5" customHeight="1">
      <c r="A293" s="1068" t="s">
        <v>2464</v>
      </c>
      <c r="B293" s="1069"/>
      <c r="C293" s="928" t="s">
        <v>1544</v>
      </c>
      <c r="D293" s="928"/>
      <c r="E293" s="928" t="s">
        <v>1544</v>
      </c>
      <c r="F293" s="1104"/>
      <c r="G293" s="1073"/>
      <c r="H293" s="1076"/>
      <c r="I293" s="873">
        <f t="shared" si="8"/>
        <v>13800</v>
      </c>
      <c r="J293" s="873">
        <f t="shared" si="9"/>
        <v>9200</v>
      </c>
      <c r="K293" s="873">
        <v>23000</v>
      </c>
    </row>
    <row r="294" spans="1:11" s="901" customFormat="1" ht="115.5" customHeight="1">
      <c r="A294" s="1068" t="s">
        <v>1776</v>
      </c>
      <c r="B294" s="1069"/>
      <c r="C294" s="928" t="s">
        <v>1738</v>
      </c>
      <c r="D294" s="928">
        <v>20</v>
      </c>
      <c r="E294" s="928" t="s">
        <v>1728</v>
      </c>
      <c r="F294" s="1044" t="s">
        <v>2240</v>
      </c>
      <c r="G294" s="1073"/>
      <c r="H294" s="1076"/>
      <c r="I294" s="873">
        <f t="shared" si="8"/>
        <v>5700</v>
      </c>
      <c r="J294" s="873">
        <f t="shared" si="9"/>
        <v>3800</v>
      </c>
      <c r="K294" s="873">
        <v>9500</v>
      </c>
    </row>
    <row r="295" spans="1:11" s="901" customFormat="1" ht="115.5" customHeight="1">
      <c r="A295" s="1068" t="s">
        <v>1777</v>
      </c>
      <c r="B295" s="1069"/>
      <c r="C295" s="928" t="s">
        <v>1739</v>
      </c>
      <c r="D295" s="928">
        <v>12</v>
      </c>
      <c r="E295" s="928" t="s">
        <v>1728</v>
      </c>
      <c r="F295" s="1046"/>
      <c r="G295" s="1074"/>
      <c r="H295" s="1077"/>
      <c r="I295" s="873">
        <f t="shared" si="8"/>
        <v>191064</v>
      </c>
      <c r="J295" s="873">
        <f t="shared" si="9"/>
        <v>127376</v>
      </c>
      <c r="K295" s="873">
        <v>318440</v>
      </c>
    </row>
    <row r="296" spans="1:11" s="901" customFormat="1" ht="115.5" customHeight="1">
      <c r="A296" s="936"/>
      <c r="B296" s="937"/>
      <c r="C296" s="928"/>
      <c r="D296" s="928"/>
      <c r="E296" s="928"/>
      <c r="F296" s="841"/>
      <c r="G296" s="938"/>
      <c r="H296" s="939"/>
      <c r="I296" s="873"/>
      <c r="J296" s="873"/>
      <c r="K296" s="873"/>
    </row>
    <row r="297" spans="1:11" s="901" customFormat="1" ht="115.5" customHeight="1">
      <c r="A297" s="1120" t="s">
        <v>2508</v>
      </c>
      <c r="B297" s="1121"/>
      <c r="C297" s="940"/>
      <c r="D297" s="940"/>
      <c r="E297" s="940"/>
      <c r="F297" s="819"/>
      <c r="G297" s="941"/>
      <c r="H297" s="942"/>
      <c r="I297" s="966">
        <v>23881</v>
      </c>
      <c r="J297" s="966"/>
      <c r="K297" s="966">
        <f t="shared" ref="K297:K303" si="10">I297+J297</f>
        <v>23881</v>
      </c>
    </row>
    <row r="298" spans="1:11" s="901" customFormat="1" ht="115.5" customHeight="1">
      <c r="A298" s="1122" t="s">
        <v>2509</v>
      </c>
      <c r="B298" s="1123"/>
      <c r="C298" s="943"/>
      <c r="D298" s="943"/>
      <c r="E298" s="943"/>
      <c r="F298" s="820"/>
      <c r="G298" s="941"/>
      <c r="H298" s="942"/>
      <c r="I298" s="966">
        <v>4482</v>
      </c>
      <c r="J298" s="966"/>
      <c r="K298" s="966">
        <f t="shared" si="10"/>
        <v>4482</v>
      </c>
    </row>
    <row r="299" spans="1:11" s="902" customFormat="1" ht="115.5" customHeight="1">
      <c r="A299" s="1070" t="s">
        <v>481</v>
      </c>
      <c r="B299" s="1071"/>
      <c r="C299" s="925"/>
      <c r="D299" s="925"/>
      <c r="E299" s="925"/>
      <c r="F299" s="931"/>
      <c r="G299" s="925"/>
      <c r="H299" s="926"/>
      <c r="I299" s="871">
        <f>SUM(I300:I301)</f>
        <v>184981</v>
      </c>
      <c r="J299" s="871">
        <f>SUM(J300:J301)</f>
        <v>122283</v>
      </c>
      <c r="K299" s="871">
        <f t="shared" si="10"/>
        <v>307264</v>
      </c>
    </row>
    <row r="300" spans="1:11" s="901" customFormat="1" ht="115.5" customHeight="1">
      <c r="A300" s="1068" t="s">
        <v>1778</v>
      </c>
      <c r="B300" s="1069"/>
      <c r="C300" s="928" t="s">
        <v>1756</v>
      </c>
      <c r="D300" s="928">
        <v>200</v>
      </c>
      <c r="E300" s="928" t="s">
        <v>1731</v>
      </c>
      <c r="F300" s="842" t="s">
        <v>2232</v>
      </c>
      <c r="G300" s="932" t="s">
        <v>1321</v>
      </c>
      <c r="H300" s="932" t="s">
        <v>2451</v>
      </c>
      <c r="I300" s="873">
        <v>177672</v>
      </c>
      <c r="J300" s="873">
        <v>122283</v>
      </c>
      <c r="K300" s="873">
        <f t="shared" si="10"/>
        <v>299955</v>
      </c>
    </row>
    <row r="301" spans="1:11" s="901" customFormat="1" ht="115.5" customHeight="1">
      <c r="A301" s="1120" t="s">
        <v>2510</v>
      </c>
      <c r="B301" s="1121"/>
      <c r="C301" s="940"/>
      <c r="D301" s="940"/>
      <c r="E301" s="940"/>
      <c r="F301" s="810"/>
      <c r="G301" s="944"/>
      <c r="H301" s="944"/>
      <c r="I301" s="966">
        <v>7309</v>
      </c>
      <c r="J301" s="966"/>
      <c r="K301" s="966">
        <f t="shared" si="10"/>
        <v>7309</v>
      </c>
    </row>
    <row r="302" spans="1:11" s="902" customFormat="1" ht="115.5" customHeight="1">
      <c r="A302" s="1070" t="s">
        <v>1248</v>
      </c>
      <c r="B302" s="1124"/>
      <c r="C302" s="925"/>
      <c r="D302" s="925"/>
      <c r="E302" s="925"/>
      <c r="F302" s="931"/>
      <c r="G302" s="925"/>
      <c r="H302" s="926"/>
      <c r="I302" s="871">
        <f>SUM(I303)</f>
        <v>4643</v>
      </c>
      <c r="J302" s="871">
        <f>SUM(J303)</f>
        <v>3195</v>
      </c>
      <c r="K302" s="871">
        <f t="shared" si="10"/>
        <v>7838</v>
      </c>
    </row>
    <row r="303" spans="1:11" s="901" customFormat="1" ht="115.5" customHeight="1">
      <c r="A303" s="1068" t="s">
        <v>1319</v>
      </c>
      <c r="B303" s="1069"/>
      <c r="C303" s="928" t="s">
        <v>1544</v>
      </c>
      <c r="D303" s="928"/>
      <c r="E303" s="928" t="s">
        <v>1544</v>
      </c>
      <c r="F303" s="842" t="s">
        <v>2233</v>
      </c>
      <c r="G303" s="932" t="s">
        <v>1321</v>
      </c>
      <c r="H303" s="932" t="s">
        <v>2447</v>
      </c>
      <c r="I303" s="873">
        <v>4643</v>
      </c>
      <c r="J303" s="873">
        <v>3195</v>
      </c>
      <c r="K303" s="873">
        <f t="shared" si="10"/>
        <v>7838</v>
      </c>
    </row>
    <row r="304" spans="1:11" s="902" customFormat="1" ht="70.5" customHeight="1">
      <c r="A304" s="1041" t="s">
        <v>2455</v>
      </c>
      <c r="B304" s="1041"/>
      <c r="C304" s="1042"/>
      <c r="D304" s="1042"/>
      <c r="E304" s="1042"/>
      <c r="F304" s="1042"/>
      <c r="G304" s="1042"/>
      <c r="H304" s="1042"/>
      <c r="I304" s="1042"/>
    </row>
    <row r="305" spans="1:11" s="902" customFormat="1" ht="55.5" customHeight="1">
      <c r="A305" s="1041" t="s">
        <v>2456</v>
      </c>
      <c r="B305" s="1041"/>
      <c r="C305" s="1042"/>
      <c r="D305" s="1042"/>
      <c r="E305" s="1042"/>
      <c r="F305" s="1042"/>
      <c r="G305" s="1042"/>
      <c r="H305" s="1042"/>
      <c r="I305" s="1042"/>
    </row>
    <row r="306" spans="1:11" s="902" customFormat="1" ht="45.75">
      <c r="A306" s="979" t="s">
        <v>2493</v>
      </c>
      <c r="B306" s="979"/>
      <c r="C306" s="979"/>
      <c r="D306" s="979"/>
      <c r="E306" s="979"/>
      <c r="F306" s="979"/>
      <c r="G306" s="979"/>
      <c r="H306" s="979"/>
      <c r="I306" s="979"/>
      <c r="J306" s="979"/>
      <c r="K306" s="979"/>
    </row>
    <row r="307" spans="1:11" s="902" customFormat="1" ht="45.75">
      <c r="A307" s="979" t="s">
        <v>52</v>
      </c>
      <c r="B307" s="979"/>
      <c r="C307" s="979"/>
      <c r="D307" s="979"/>
      <c r="E307" s="979"/>
      <c r="F307" s="979"/>
      <c r="G307" s="979"/>
      <c r="H307" s="979"/>
      <c r="I307" s="979"/>
      <c r="J307" s="979"/>
      <c r="K307" s="979"/>
    </row>
    <row r="308" spans="1:11" s="902" customFormat="1" ht="45.75">
      <c r="A308" s="1040" t="s">
        <v>50</v>
      </c>
      <c r="B308" s="1040"/>
      <c r="C308" s="1040"/>
      <c r="D308" s="1040"/>
      <c r="E308" s="1040"/>
      <c r="F308" s="1040"/>
      <c r="G308" s="1040"/>
      <c r="H308" s="1040"/>
      <c r="I308" s="1040"/>
      <c r="J308" s="1040"/>
      <c r="K308" s="1040"/>
    </row>
    <row r="309" spans="1:11" s="902" customFormat="1" ht="45.75">
      <c r="A309" s="933"/>
      <c r="B309" s="933"/>
      <c r="C309" s="933"/>
      <c r="D309" s="933"/>
      <c r="E309" s="933"/>
      <c r="F309" s="933"/>
      <c r="G309" s="934"/>
      <c r="H309" s="934"/>
      <c r="I309" s="934"/>
      <c r="J309" s="934"/>
      <c r="K309" s="934"/>
    </row>
    <row r="310" spans="1:11" s="902" customFormat="1" ht="45.75">
      <c r="A310" s="979" t="s">
        <v>1489</v>
      </c>
      <c r="B310" s="979"/>
      <c r="C310" s="979"/>
      <c r="D310" s="979"/>
      <c r="E310" s="979"/>
      <c r="F310" s="979"/>
      <c r="G310" s="979"/>
      <c r="H310" s="979"/>
      <c r="I310" s="979"/>
      <c r="J310" s="979"/>
      <c r="K310" s="979"/>
    </row>
    <row r="311" spans="1:11" s="902" customFormat="1" ht="45.75">
      <c r="A311" s="933"/>
      <c r="B311" s="933"/>
      <c r="C311" s="933"/>
      <c r="D311" s="933"/>
      <c r="E311" s="933"/>
      <c r="F311" s="933"/>
      <c r="G311" s="934"/>
      <c r="H311" s="934"/>
      <c r="I311" s="934"/>
      <c r="J311" s="934"/>
      <c r="K311" s="934"/>
    </row>
    <row r="312" spans="1:11" s="902" customFormat="1" ht="20.100000000000001" customHeight="1">
      <c r="A312" s="933"/>
      <c r="B312" s="933"/>
      <c r="C312" s="933"/>
      <c r="D312" s="933"/>
      <c r="E312" s="933"/>
      <c r="F312" s="933"/>
      <c r="G312" s="934"/>
      <c r="H312" s="934"/>
      <c r="I312" s="934"/>
      <c r="J312" s="934"/>
      <c r="K312" s="934"/>
    </row>
    <row r="313" spans="1:11" s="902" customFormat="1" ht="20.100000000000001" customHeight="1">
      <c r="A313" s="979"/>
      <c r="B313" s="979"/>
      <c r="C313" s="979"/>
      <c r="D313" s="979"/>
      <c r="E313" s="979"/>
      <c r="F313" s="979"/>
      <c r="G313" s="979"/>
      <c r="H313" s="979"/>
      <c r="I313" s="979"/>
      <c r="J313" s="979"/>
      <c r="K313" s="979"/>
    </row>
    <row r="314" spans="1:11" s="902" customFormat="1" ht="45.75" customHeight="1">
      <c r="A314" s="1067" t="s">
        <v>1381</v>
      </c>
      <c r="B314" s="1067"/>
      <c r="C314" s="1067"/>
      <c r="D314" s="1067"/>
      <c r="E314" s="1067"/>
      <c r="F314" s="1067"/>
      <c r="G314" s="1067"/>
      <c r="H314" s="1067"/>
      <c r="I314" s="1067"/>
      <c r="J314" s="1067"/>
      <c r="K314" s="1067"/>
    </row>
    <row r="315" spans="1:11" s="902" customFormat="1" ht="97.5" customHeight="1">
      <c r="A315" s="1111" t="s">
        <v>37</v>
      </c>
      <c r="B315" s="1112"/>
      <c r="C315" s="983" t="s">
        <v>178</v>
      </c>
      <c r="D315" s="983" t="s">
        <v>179</v>
      </c>
      <c r="E315" s="983" t="s">
        <v>1521</v>
      </c>
      <c r="F315" s="983" t="s">
        <v>14</v>
      </c>
      <c r="G315" s="983" t="s">
        <v>1515</v>
      </c>
      <c r="H315" s="983" t="s">
        <v>16</v>
      </c>
      <c r="I315" s="1108" t="s">
        <v>1490</v>
      </c>
      <c r="J315" s="1108" t="s">
        <v>2506</v>
      </c>
      <c r="K315" s="983" t="s">
        <v>200</v>
      </c>
    </row>
    <row r="316" spans="1:11" s="900" customFormat="1" ht="97.5" customHeight="1">
      <c r="A316" s="1113"/>
      <c r="B316" s="1114"/>
      <c r="C316" s="984"/>
      <c r="D316" s="984"/>
      <c r="E316" s="984"/>
      <c r="F316" s="984"/>
      <c r="G316" s="984"/>
      <c r="H316" s="984"/>
      <c r="I316" s="1108"/>
      <c r="J316" s="1108"/>
      <c r="K316" s="984"/>
    </row>
    <row r="317" spans="1:11" s="900" customFormat="1" ht="97.5" customHeight="1">
      <c r="A317" s="1109" t="s">
        <v>1602</v>
      </c>
      <c r="B317" s="1110"/>
      <c r="C317" s="921"/>
      <c r="D317" s="921"/>
      <c r="E317" s="922"/>
      <c r="F317" s="923"/>
      <c r="G317" s="924"/>
      <c r="H317" s="924"/>
      <c r="I317" s="920">
        <f>I318+I320+I326</f>
        <v>711751.8</v>
      </c>
      <c r="J317" s="920">
        <f>J318+J320+J326</f>
        <v>474501.2</v>
      </c>
      <c r="K317" s="920">
        <f>I317+J317</f>
        <v>1186253</v>
      </c>
    </row>
    <row r="318" spans="1:11" s="927" customFormat="1" ht="97.5" customHeight="1">
      <c r="A318" s="1070" t="s">
        <v>2251</v>
      </c>
      <c r="B318" s="1115"/>
      <c r="C318" s="1115"/>
      <c r="D318" s="1115"/>
      <c r="E318" s="1115"/>
      <c r="F318" s="1071"/>
      <c r="G318" s="925"/>
      <c r="H318" s="926"/>
      <c r="I318" s="871">
        <f>I319</f>
        <v>531000</v>
      </c>
      <c r="J318" s="871">
        <f>J319</f>
        <v>354000</v>
      </c>
      <c r="K318" s="871">
        <f>I318+J318</f>
        <v>885000</v>
      </c>
    </row>
    <row r="319" spans="1:11" s="901" customFormat="1" ht="112.5" customHeight="1">
      <c r="A319" s="1068" t="s">
        <v>1603</v>
      </c>
      <c r="B319" s="1069"/>
      <c r="C319" s="928" t="s">
        <v>147</v>
      </c>
      <c r="D319" s="928">
        <v>324</v>
      </c>
      <c r="E319" s="945" t="s">
        <v>1573</v>
      </c>
      <c r="F319" s="842" t="s">
        <v>2253</v>
      </c>
      <c r="G319" s="929">
        <v>8100</v>
      </c>
      <c r="H319" s="932" t="s">
        <v>2273</v>
      </c>
      <c r="I319" s="873">
        <f>K319/100*60</f>
        <v>531000</v>
      </c>
      <c r="J319" s="873">
        <f>K319/100*40</f>
        <v>354000</v>
      </c>
      <c r="K319" s="873">
        <v>885000</v>
      </c>
    </row>
    <row r="320" spans="1:11" s="902" customFormat="1" ht="97.5" customHeight="1">
      <c r="A320" s="1070" t="s">
        <v>1541</v>
      </c>
      <c r="B320" s="1071"/>
      <c r="C320" s="925"/>
      <c r="D320" s="925"/>
      <c r="E320" s="925"/>
      <c r="F320" s="931"/>
      <c r="G320" s="925"/>
      <c r="H320" s="926"/>
      <c r="I320" s="871">
        <f>SUM(I321:I325)</f>
        <v>173551.8</v>
      </c>
      <c r="J320" s="871">
        <f>SUM(J321:J325)</f>
        <v>115701.2</v>
      </c>
      <c r="K320" s="871">
        <f>I320+J320</f>
        <v>289253</v>
      </c>
    </row>
    <row r="321" spans="1:11" s="901" customFormat="1" ht="112.5" customHeight="1">
      <c r="A321" s="1068" t="s">
        <v>1604</v>
      </c>
      <c r="B321" s="1069"/>
      <c r="C321" s="928" t="s">
        <v>1608</v>
      </c>
      <c r="D321" s="928">
        <v>10</v>
      </c>
      <c r="E321" s="945" t="s">
        <v>1609</v>
      </c>
      <c r="F321" s="1044" t="s">
        <v>2229</v>
      </c>
      <c r="G321" s="1072">
        <v>8100</v>
      </c>
      <c r="H321" s="1075" t="s">
        <v>2273</v>
      </c>
      <c r="I321" s="873">
        <f>K321/100*60</f>
        <v>86601</v>
      </c>
      <c r="J321" s="873">
        <f>K321/100*40</f>
        <v>57734</v>
      </c>
      <c r="K321" s="873">
        <v>144335</v>
      </c>
    </row>
    <row r="322" spans="1:11" s="901" customFormat="1" ht="112.5" customHeight="1">
      <c r="A322" s="1068" t="s">
        <v>1605</v>
      </c>
      <c r="B322" s="1069"/>
      <c r="C322" s="928" t="s">
        <v>1610</v>
      </c>
      <c r="D322" s="928">
        <v>4</v>
      </c>
      <c r="E322" s="945" t="s">
        <v>1611</v>
      </c>
      <c r="F322" s="1046"/>
      <c r="G322" s="1073"/>
      <c r="H322" s="1076"/>
      <c r="I322" s="873">
        <f>K322/100*60</f>
        <v>4800</v>
      </c>
      <c r="J322" s="873">
        <f>K322/100*40</f>
        <v>3200</v>
      </c>
      <c r="K322" s="873">
        <v>8000</v>
      </c>
    </row>
    <row r="323" spans="1:11" s="901" customFormat="1" ht="112.5" customHeight="1">
      <c r="A323" s="1068" t="s">
        <v>1606</v>
      </c>
      <c r="B323" s="1069"/>
      <c r="C323" s="928" t="s">
        <v>1612</v>
      </c>
      <c r="D323" s="946">
        <v>20</v>
      </c>
      <c r="E323" s="945" t="s">
        <v>1613</v>
      </c>
      <c r="F323" s="840" t="s">
        <v>2230</v>
      </c>
      <c r="G323" s="1073"/>
      <c r="H323" s="1076"/>
      <c r="I323" s="873">
        <f>K323/100*60</f>
        <v>42000</v>
      </c>
      <c r="J323" s="873">
        <f>K323/100*40</f>
        <v>28000</v>
      </c>
      <c r="K323" s="873">
        <v>70000</v>
      </c>
    </row>
    <row r="324" spans="1:11" s="901" customFormat="1" ht="112.5" customHeight="1">
      <c r="A324" s="1068" t="s">
        <v>1607</v>
      </c>
      <c r="B324" s="1069"/>
      <c r="C324" s="928" t="s">
        <v>1614</v>
      </c>
      <c r="D324" s="928">
        <v>15</v>
      </c>
      <c r="E324" s="945" t="s">
        <v>1615</v>
      </c>
      <c r="F324" s="1044" t="s">
        <v>2231</v>
      </c>
      <c r="G324" s="1073"/>
      <c r="H324" s="1076"/>
      <c r="I324" s="873">
        <f>K324/100*60</f>
        <v>30000</v>
      </c>
      <c r="J324" s="873">
        <f>K324/100*40</f>
        <v>20000</v>
      </c>
      <c r="K324" s="873">
        <v>50000</v>
      </c>
    </row>
    <row r="325" spans="1:11" s="901" customFormat="1" ht="112.5" customHeight="1">
      <c r="A325" s="1068" t="s">
        <v>1496</v>
      </c>
      <c r="B325" s="1069"/>
      <c r="C325" s="928" t="s">
        <v>1616</v>
      </c>
      <c r="D325" s="928">
        <v>30</v>
      </c>
      <c r="E325" s="945" t="s">
        <v>1615</v>
      </c>
      <c r="F325" s="1046"/>
      <c r="G325" s="1073"/>
      <c r="H325" s="1076"/>
      <c r="I325" s="873">
        <f>K325/100*60</f>
        <v>10150.800000000001</v>
      </c>
      <c r="J325" s="873">
        <f>K325/100*40</f>
        <v>6767.2000000000007</v>
      </c>
      <c r="K325" s="873">
        <v>16918</v>
      </c>
    </row>
    <row r="326" spans="1:11" s="902" customFormat="1" ht="97.5" customHeight="1">
      <c r="A326" s="1070" t="s">
        <v>278</v>
      </c>
      <c r="B326" s="1071"/>
      <c r="C326" s="925"/>
      <c r="D326" s="925"/>
      <c r="E326" s="925"/>
      <c r="F326" s="931"/>
      <c r="G326" s="925"/>
      <c r="H326" s="926"/>
      <c r="I326" s="871">
        <f>SUM(I327)</f>
        <v>7200</v>
      </c>
      <c r="J326" s="871">
        <f>SUM(J327)</f>
        <v>4800</v>
      </c>
      <c r="K326" s="871">
        <f>I326+J326</f>
        <v>12000</v>
      </c>
    </row>
    <row r="327" spans="1:11" s="901" customFormat="1" ht="97.5" customHeight="1">
      <c r="A327" s="1068" t="s">
        <v>2526</v>
      </c>
      <c r="B327" s="1069"/>
      <c r="C327" s="928" t="s">
        <v>18</v>
      </c>
      <c r="D327" s="928">
        <v>50</v>
      </c>
      <c r="E327" s="945" t="s">
        <v>1617</v>
      </c>
      <c r="F327" s="842" t="s">
        <v>2234</v>
      </c>
      <c r="G327" s="929">
        <v>8100</v>
      </c>
      <c r="H327" s="932" t="s">
        <v>2445</v>
      </c>
      <c r="I327" s="873">
        <f>K327/100*60</f>
        <v>7200</v>
      </c>
      <c r="J327" s="873">
        <f>K327/100*40</f>
        <v>4800</v>
      </c>
      <c r="K327" s="873">
        <v>12000</v>
      </c>
    </row>
    <row r="328" spans="1:11" s="951" customFormat="1" ht="97.5" customHeight="1">
      <c r="A328" s="1125"/>
      <c r="B328" s="1126"/>
      <c r="C328" s="947"/>
      <c r="D328" s="947"/>
      <c r="E328" s="948"/>
      <c r="F328" s="949"/>
      <c r="G328" s="950"/>
      <c r="H328" s="950"/>
      <c r="I328" s="742"/>
      <c r="J328" s="742"/>
      <c r="K328" s="742"/>
    </row>
    <row r="329" spans="1:11" s="902" customFormat="1" ht="97.5" customHeight="1">
      <c r="A329" s="1111" t="s">
        <v>37</v>
      </c>
      <c r="B329" s="1112"/>
      <c r="C329" s="983" t="s">
        <v>178</v>
      </c>
      <c r="D329" s="983" t="s">
        <v>179</v>
      </c>
      <c r="E329" s="983" t="s">
        <v>1521</v>
      </c>
      <c r="F329" s="983" t="s">
        <v>14</v>
      </c>
      <c r="G329" s="983" t="s">
        <v>1515</v>
      </c>
      <c r="H329" s="983" t="s">
        <v>16</v>
      </c>
      <c r="I329" s="1108" t="s">
        <v>1490</v>
      </c>
      <c r="J329" s="1108" t="s">
        <v>2506</v>
      </c>
      <c r="K329" s="983" t="s">
        <v>200</v>
      </c>
    </row>
    <row r="330" spans="1:11" s="900" customFormat="1" ht="97.5" customHeight="1">
      <c r="A330" s="1113"/>
      <c r="B330" s="1114"/>
      <c r="C330" s="984"/>
      <c r="D330" s="984"/>
      <c r="E330" s="984"/>
      <c r="F330" s="984"/>
      <c r="G330" s="984"/>
      <c r="H330" s="984"/>
      <c r="I330" s="1108"/>
      <c r="J330" s="1108"/>
      <c r="K330" s="984"/>
    </row>
    <row r="331" spans="1:11" s="900" customFormat="1" ht="97.5" customHeight="1">
      <c r="A331" s="1109" t="s">
        <v>1542</v>
      </c>
      <c r="B331" s="1110"/>
      <c r="C331" s="921"/>
      <c r="D331" s="921"/>
      <c r="E331" s="922"/>
      <c r="F331" s="923"/>
      <c r="G331" s="924"/>
      <c r="H331" s="924"/>
      <c r="I331" s="920">
        <f>I332+I336</f>
        <v>284048.40000000002</v>
      </c>
      <c r="J331" s="920">
        <f>J332+J336</f>
        <v>189365.59999999998</v>
      </c>
      <c r="K331" s="920">
        <f>I331+J331</f>
        <v>473414</v>
      </c>
    </row>
    <row r="332" spans="1:11" s="902" customFormat="1" ht="97.5" customHeight="1">
      <c r="A332" s="1070" t="s">
        <v>1541</v>
      </c>
      <c r="B332" s="1071"/>
      <c r="C332" s="925"/>
      <c r="D332" s="925"/>
      <c r="E332" s="925"/>
      <c r="F332" s="931"/>
      <c r="G332" s="925"/>
      <c r="H332" s="926"/>
      <c r="I332" s="871">
        <f>SUM(I333:I335)</f>
        <v>272048.40000000002</v>
      </c>
      <c r="J332" s="871">
        <f>SUM(J333:J335)</f>
        <v>181365.59999999998</v>
      </c>
      <c r="K332" s="871">
        <f>I332+J332</f>
        <v>453414</v>
      </c>
    </row>
    <row r="333" spans="1:11" s="901" customFormat="1" ht="97.5" customHeight="1">
      <c r="A333" s="1068" t="s">
        <v>1569</v>
      </c>
      <c r="B333" s="1069"/>
      <c r="C333" s="928" t="s">
        <v>1544</v>
      </c>
      <c r="D333" s="928"/>
      <c r="E333" s="928" t="s">
        <v>1544</v>
      </c>
      <c r="F333" s="840" t="s">
        <v>2229</v>
      </c>
      <c r="G333" s="1072">
        <v>8100</v>
      </c>
      <c r="H333" s="1075" t="s">
        <v>2273</v>
      </c>
      <c r="I333" s="873">
        <f>K333/100*60</f>
        <v>54000</v>
      </c>
      <c r="J333" s="873">
        <f>K333/100*40</f>
        <v>36000</v>
      </c>
      <c r="K333" s="873">
        <v>90000</v>
      </c>
    </row>
    <row r="334" spans="1:11" s="901" customFormat="1" ht="97.5" customHeight="1">
      <c r="A334" s="1068" t="s">
        <v>1546</v>
      </c>
      <c r="B334" s="1069"/>
      <c r="C334" s="928" t="s">
        <v>1544</v>
      </c>
      <c r="D334" s="928"/>
      <c r="E334" s="928" t="s">
        <v>1544</v>
      </c>
      <c r="F334" s="840" t="s">
        <v>2230</v>
      </c>
      <c r="G334" s="1073"/>
      <c r="H334" s="1076"/>
      <c r="I334" s="873">
        <f>K334/100*60</f>
        <v>75600</v>
      </c>
      <c r="J334" s="873">
        <f>K334/100*40</f>
        <v>50400</v>
      </c>
      <c r="K334" s="873">
        <v>126000</v>
      </c>
    </row>
    <row r="335" spans="1:11" s="901" customFormat="1" ht="97.5" customHeight="1">
      <c r="A335" s="1068" t="s">
        <v>1570</v>
      </c>
      <c r="B335" s="1069"/>
      <c r="C335" s="928" t="s">
        <v>1544</v>
      </c>
      <c r="D335" s="928"/>
      <c r="E335" s="928" t="s">
        <v>1544</v>
      </c>
      <c r="F335" s="840" t="s">
        <v>2231</v>
      </c>
      <c r="G335" s="1073"/>
      <c r="H335" s="1076"/>
      <c r="I335" s="873">
        <f>K335/100*60</f>
        <v>142448.4</v>
      </c>
      <c r="J335" s="873">
        <f>K335/100*40</f>
        <v>94965.599999999991</v>
      </c>
      <c r="K335" s="873">
        <v>237414</v>
      </c>
    </row>
    <row r="336" spans="1:11" s="902" customFormat="1" ht="97.5" customHeight="1">
      <c r="A336" s="1070" t="s">
        <v>312</v>
      </c>
      <c r="B336" s="1071"/>
      <c r="C336" s="925"/>
      <c r="D336" s="925"/>
      <c r="E336" s="925"/>
      <c r="F336" s="931"/>
      <c r="G336" s="925"/>
      <c r="H336" s="926"/>
      <c r="I336" s="871">
        <f>I337</f>
        <v>12000</v>
      </c>
      <c r="J336" s="871">
        <f>J337</f>
        <v>8000</v>
      </c>
      <c r="K336" s="871">
        <f>I336+J336</f>
        <v>20000</v>
      </c>
    </row>
    <row r="337" spans="1:11" s="901" customFormat="1" ht="97.5" customHeight="1">
      <c r="A337" s="1068" t="s">
        <v>1543</v>
      </c>
      <c r="B337" s="1069"/>
      <c r="C337" s="928" t="s">
        <v>1544</v>
      </c>
      <c r="D337" s="928"/>
      <c r="E337" s="928" t="s">
        <v>1544</v>
      </c>
      <c r="F337" s="842" t="s">
        <v>2224</v>
      </c>
      <c r="G337" s="929">
        <v>8100</v>
      </c>
      <c r="H337" s="932" t="s">
        <v>2273</v>
      </c>
      <c r="I337" s="873">
        <f>K337/100*60</f>
        <v>12000</v>
      </c>
      <c r="J337" s="873">
        <f>K337/100*40</f>
        <v>8000</v>
      </c>
      <c r="K337" s="873">
        <v>20000</v>
      </c>
    </row>
    <row r="338" spans="1:11" s="901" customFormat="1" ht="97.5" customHeight="1">
      <c r="A338" s="1041" t="s">
        <v>2455</v>
      </c>
      <c r="B338" s="1041"/>
      <c r="C338" s="1042"/>
      <c r="D338" s="1042"/>
      <c r="E338" s="1042"/>
      <c r="F338" s="1042"/>
      <c r="G338" s="1042"/>
      <c r="H338" s="1042"/>
      <c r="I338" s="1042"/>
      <c r="J338" s="903"/>
      <c r="K338" s="903"/>
    </row>
    <row r="339" spans="1:11" s="901" customFormat="1" ht="97.5" customHeight="1">
      <c r="A339" s="855"/>
      <c r="B339" s="855"/>
      <c r="C339" s="952"/>
      <c r="D339" s="952"/>
      <c r="E339" s="953"/>
      <c r="F339" s="755"/>
      <c r="G339" s="954"/>
      <c r="H339" s="955"/>
      <c r="I339" s="903"/>
      <c r="J339" s="903"/>
      <c r="K339" s="903"/>
    </row>
    <row r="340" spans="1:11" s="902" customFormat="1" ht="45.75">
      <c r="A340" s="979" t="s">
        <v>2493</v>
      </c>
      <c r="B340" s="979"/>
      <c r="C340" s="979"/>
      <c r="D340" s="979"/>
      <c r="E340" s="979"/>
      <c r="F340" s="979"/>
      <c r="G340" s="979"/>
      <c r="H340" s="979"/>
      <c r="I340" s="979"/>
      <c r="J340" s="979"/>
      <c r="K340" s="979"/>
    </row>
    <row r="341" spans="1:11" s="902" customFormat="1" ht="45.75">
      <c r="A341" s="979" t="s">
        <v>52</v>
      </c>
      <c r="B341" s="979"/>
      <c r="C341" s="979"/>
      <c r="D341" s="979"/>
      <c r="E341" s="979"/>
      <c r="F341" s="979"/>
      <c r="G341" s="979"/>
      <c r="H341" s="979"/>
      <c r="I341" s="979"/>
      <c r="J341" s="979"/>
      <c r="K341" s="979"/>
    </row>
    <row r="342" spans="1:11" s="902" customFormat="1" ht="45.75">
      <c r="A342" s="1040" t="s">
        <v>50</v>
      </c>
      <c r="B342" s="1040"/>
      <c r="C342" s="1040"/>
      <c r="D342" s="1040"/>
      <c r="E342" s="1040"/>
      <c r="F342" s="1040"/>
      <c r="G342" s="1040"/>
      <c r="H342" s="1040"/>
      <c r="I342" s="1040"/>
      <c r="J342" s="1040"/>
      <c r="K342" s="1040"/>
    </row>
    <row r="343" spans="1:11" s="902" customFormat="1" ht="45.75">
      <c r="A343" s="933"/>
      <c r="B343" s="933"/>
      <c r="C343" s="933"/>
      <c r="D343" s="933"/>
      <c r="E343" s="933"/>
      <c r="F343" s="933"/>
      <c r="G343" s="934"/>
      <c r="H343" s="934"/>
      <c r="I343" s="934"/>
      <c r="J343" s="934"/>
      <c r="K343" s="934"/>
    </row>
    <row r="344" spans="1:11" s="902" customFormat="1" ht="45.75">
      <c r="A344" s="979" t="s">
        <v>1489</v>
      </c>
      <c r="B344" s="979"/>
      <c r="C344" s="979"/>
      <c r="D344" s="979"/>
      <c r="E344" s="979"/>
      <c r="F344" s="979"/>
      <c r="G344" s="979"/>
      <c r="H344" s="979"/>
      <c r="I344" s="979"/>
      <c r="J344" s="979"/>
      <c r="K344" s="979"/>
    </row>
    <row r="345" spans="1:11" s="902" customFormat="1" ht="45.75">
      <c r="A345" s="933"/>
      <c r="B345" s="933"/>
      <c r="C345" s="933"/>
      <c r="D345" s="933"/>
      <c r="E345" s="933"/>
      <c r="F345" s="933"/>
      <c r="G345" s="934"/>
      <c r="H345" s="934"/>
      <c r="I345" s="934"/>
      <c r="J345" s="934"/>
      <c r="K345" s="934"/>
    </row>
    <row r="346" spans="1:11" s="902" customFormat="1" ht="45.75">
      <c r="A346" s="933"/>
      <c r="B346" s="933"/>
      <c r="C346" s="933"/>
      <c r="D346" s="933"/>
      <c r="E346" s="933"/>
      <c r="F346" s="933"/>
      <c r="G346" s="934"/>
      <c r="H346" s="934"/>
      <c r="I346" s="934"/>
      <c r="J346" s="934"/>
      <c r="K346" s="934"/>
    </row>
    <row r="347" spans="1:11" s="902" customFormat="1" ht="45.75">
      <c r="A347" s="979"/>
      <c r="B347" s="979"/>
      <c r="C347" s="979"/>
      <c r="D347" s="979"/>
      <c r="E347" s="979"/>
      <c r="F347" s="979"/>
      <c r="G347" s="979"/>
      <c r="H347" s="979"/>
      <c r="I347" s="979"/>
      <c r="J347" s="979"/>
      <c r="K347" s="979"/>
    </row>
    <row r="348" spans="1:11" s="902" customFormat="1" ht="45.75">
      <c r="A348" s="1067" t="s">
        <v>1381</v>
      </c>
      <c r="B348" s="1067"/>
      <c r="C348" s="1067"/>
      <c r="D348" s="1067"/>
      <c r="E348" s="1067"/>
      <c r="F348" s="1067"/>
      <c r="G348" s="1067"/>
      <c r="H348" s="1067"/>
      <c r="I348" s="1067"/>
      <c r="J348" s="1067"/>
      <c r="K348" s="1067"/>
    </row>
    <row r="349" spans="1:11" s="902" customFormat="1" ht="97.5" customHeight="1">
      <c r="A349" s="1111" t="s">
        <v>37</v>
      </c>
      <c r="B349" s="1112"/>
      <c r="C349" s="983" t="s">
        <v>178</v>
      </c>
      <c r="D349" s="983" t="s">
        <v>179</v>
      </c>
      <c r="E349" s="983" t="s">
        <v>1521</v>
      </c>
      <c r="F349" s="983" t="s">
        <v>14</v>
      </c>
      <c r="G349" s="983" t="s">
        <v>1515</v>
      </c>
      <c r="H349" s="983" t="s">
        <v>16</v>
      </c>
      <c r="I349" s="1108" t="s">
        <v>1490</v>
      </c>
      <c r="J349" s="1108" t="s">
        <v>2506</v>
      </c>
      <c r="K349" s="983" t="s">
        <v>200</v>
      </c>
    </row>
    <row r="350" spans="1:11" s="900" customFormat="1" ht="97.5" customHeight="1">
      <c r="A350" s="1113"/>
      <c r="B350" s="1114"/>
      <c r="C350" s="984"/>
      <c r="D350" s="984"/>
      <c r="E350" s="984"/>
      <c r="F350" s="984"/>
      <c r="G350" s="984"/>
      <c r="H350" s="984"/>
      <c r="I350" s="1108"/>
      <c r="J350" s="1108"/>
      <c r="K350" s="984"/>
    </row>
    <row r="351" spans="1:11" s="900" customFormat="1" ht="97.5" customHeight="1">
      <c r="A351" s="1109" t="s">
        <v>1633</v>
      </c>
      <c r="B351" s="1110"/>
      <c r="C351" s="921"/>
      <c r="D351" s="921"/>
      <c r="E351" s="922"/>
      <c r="F351" s="923"/>
      <c r="G351" s="924"/>
      <c r="H351" s="924"/>
      <c r="I351" s="920">
        <f>I352+I354+I365+I367</f>
        <v>229105.19999999998</v>
      </c>
      <c r="J351" s="920">
        <f>J352+J354+J365+J367</f>
        <v>152736.79999999999</v>
      </c>
      <c r="K351" s="920">
        <f>I351+J351</f>
        <v>381842</v>
      </c>
    </row>
    <row r="352" spans="1:11" s="927" customFormat="1" ht="97.5" customHeight="1">
      <c r="A352" s="1070" t="s">
        <v>2251</v>
      </c>
      <c r="B352" s="1115"/>
      <c r="C352" s="1115"/>
      <c r="D352" s="1115"/>
      <c r="E352" s="1115"/>
      <c r="F352" s="1071"/>
      <c r="G352" s="925"/>
      <c r="H352" s="926"/>
      <c r="I352" s="871">
        <f>I353</f>
        <v>23547</v>
      </c>
      <c r="J352" s="871">
        <f>J353</f>
        <v>15698</v>
      </c>
      <c r="K352" s="871">
        <f>I352+J352</f>
        <v>39245</v>
      </c>
    </row>
    <row r="353" spans="1:11" s="901" customFormat="1" ht="97.5" customHeight="1">
      <c r="A353" s="1068" t="s">
        <v>1634</v>
      </c>
      <c r="B353" s="1069"/>
      <c r="C353" s="928" t="s">
        <v>147</v>
      </c>
      <c r="D353" s="928">
        <v>324</v>
      </c>
      <c r="E353" s="945" t="s">
        <v>1573</v>
      </c>
      <c r="F353" s="842" t="s">
        <v>2254</v>
      </c>
      <c r="G353" s="929">
        <v>8100</v>
      </c>
      <c r="H353" s="932" t="s">
        <v>2273</v>
      </c>
      <c r="I353" s="873">
        <f>K353/100*60</f>
        <v>23547</v>
      </c>
      <c r="J353" s="873">
        <f>K353/100*40</f>
        <v>15698</v>
      </c>
      <c r="K353" s="873">
        <v>39245</v>
      </c>
    </row>
    <row r="354" spans="1:11" s="902" customFormat="1" ht="97.5" customHeight="1">
      <c r="A354" s="1070" t="s">
        <v>1541</v>
      </c>
      <c r="B354" s="1071"/>
      <c r="C354" s="925"/>
      <c r="D354" s="925"/>
      <c r="E354" s="925"/>
      <c r="F354" s="931"/>
      <c r="G354" s="925"/>
      <c r="H354" s="926"/>
      <c r="I354" s="871">
        <f>SUM(I355:I364)</f>
        <v>196858.19999999998</v>
      </c>
      <c r="J354" s="871">
        <f>SUM(J355:J364)</f>
        <v>131238.79999999999</v>
      </c>
      <c r="K354" s="871">
        <f>I354+J354</f>
        <v>328097</v>
      </c>
    </row>
    <row r="355" spans="1:11" s="901" customFormat="1" ht="112.5" customHeight="1">
      <c r="A355" s="1068" t="s">
        <v>1635</v>
      </c>
      <c r="B355" s="1069"/>
      <c r="C355" s="928" t="s">
        <v>1644</v>
      </c>
      <c r="D355" s="928">
        <v>10</v>
      </c>
      <c r="E355" s="945" t="s">
        <v>1645</v>
      </c>
      <c r="F355" s="842" t="s">
        <v>2236</v>
      </c>
      <c r="G355" s="1072">
        <v>8100</v>
      </c>
      <c r="H355" s="1075" t="s">
        <v>2273</v>
      </c>
      <c r="I355" s="873">
        <f t="shared" ref="I355:I364" si="11">K355/100*60</f>
        <v>35712</v>
      </c>
      <c r="J355" s="873">
        <f t="shared" ref="J355:J364" si="12">K355/100*40</f>
        <v>23808</v>
      </c>
      <c r="K355" s="873">
        <v>59520</v>
      </c>
    </row>
    <row r="356" spans="1:11" s="901" customFormat="1" ht="112.5" customHeight="1">
      <c r="A356" s="1068" t="s">
        <v>1636</v>
      </c>
      <c r="B356" s="1069"/>
      <c r="C356" s="928" t="s">
        <v>1657</v>
      </c>
      <c r="D356" s="928">
        <v>7</v>
      </c>
      <c r="E356" s="945" t="s">
        <v>1646</v>
      </c>
      <c r="F356" s="842" t="s">
        <v>2229</v>
      </c>
      <c r="G356" s="1073"/>
      <c r="H356" s="1076"/>
      <c r="I356" s="873">
        <f t="shared" si="11"/>
        <v>31320</v>
      </c>
      <c r="J356" s="873">
        <f t="shared" si="12"/>
        <v>20880</v>
      </c>
      <c r="K356" s="873">
        <v>52200</v>
      </c>
    </row>
    <row r="357" spans="1:11" s="901" customFormat="1" ht="112.5" customHeight="1">
      <c r="A357" s="1068" t="s">
        <v>1606</v>
      </c>
      <c r="B357" s="1069"/>
      <c r="C357" s="928" t="s">
        <v>1657</v>
      </c>
      <c r="D357" s="946">
        <v>16</v>
      </c>
      <c r="E357" s="945" t="s">
        <v>1647</v>
      </c>
      <c r="F357" s="1044" t="s">
        <v>2230</v>
      </c>
      <c r="G357" s="1073"/>
      <c r="H357" s="1076"/>
      <c r="I357" s="873">
        <f t="shared" si="11"/>
        <v>9720</v>
      </c>
      <c r="J357" s="873">
        <f t="shared" si="12"/>
        <v>6480</v>
      </c>
      <c r="K357" s="873">
        <v>16200</v>
      </c>
    </row>
    <row r="358" spans="1:11" s="901" customFormat="1" ht="112.5" customHeight="1">
      <c r="A358" s="1068" t="s">
        <v>1637</v>
      </c>
      <c r="B358" s="1069"/>
      <c r="C358" s="928" t="s">
        <v>1657</v>
      </c>
      <c r="D358" s="928">
        <v>16</v>
      </c>
      <c r="E358" s="945" t="s">
        <v>1648</v>
      </c>
      <c r="F358" s="1045"/>
      <c r="G358" s="1073"/>
      <c r="H358" s="1076"/>
      <c r="I358" s="873">
        <f t="shared" si="11"/>
        <v>4602.8100000000004</v>
      </c>
      <c r="J358" s="873">
        <f t="shared" si="12"/>
        <v>3068.5400000000004</v>
      </c>
      <c r="K358" s="873">
        <v>7671.35</v>
      </c>
    </row>
    <row r="359" spans="1:11" s="901" customFormat="1" ht="112.5" customHeight="1">
      <c r="A359" s="1068" t="s">
        <v>1638</v>
      </c>
      <c r="B359" s="1069"/>
      <c r="C359" s="928" t="s">
        <v>1649</v>
      </c>
      <c r="D359" s="928">
        <v>3</v>
      </c>
      <c r="E359" s="945" t="s">
        <v>1650</v>
      </c>
      <c r="F359" s="1045"/>
      <c r="G359" s="1073"/>
      <c r="H359" s="1076"/>
      <c r="I359" s="873">
        <f t="shared" si="11"/>
        <v>4320</v>
      </c>
      <c r="J359" s="873">
        <f t="shared" si="12"/>
        <v>2880</v>
      </c>
      <c r="K359" s="873">
        <v>7200</v>
      </c>
    </row>
    <row r="360" spans="1:11" s="901" customFormat="1" ht="112.5" customHeight="1">
      <c r="A360" s="1068" t="s">
        <v>1639</v>
      </c>
      <c r="B360" s="1069"/>
      <c r="C360" s="928" t="s">
        <v>1651</v>
      </c>
      <c r="D360" s="928">
        <v>8</v>
      </c>
      <c r="E360" s="945" t="s">
        <v>1652</v>
      </c>
      <c r="F360" s="1046"/>
      <c r="G360" s="1073"/>
      <c r="H360" s="1076"/>
      <c r="I360" s="873">
        <f t="shared" si="11"/>
        <v>1890</v>
      </c>
      <c r="J360" s="873">
        <f t="shared" si="12"/>
        <v>1260</v>
      </c>
      <c r="K360" s="873">
        <v>3150</v>
      </c>
    </row>
    <row r="361" spans="1:11" s="901" customFormat="1" ht="112.5" customHeight="1">
      <c r="A361" s="1068" t="s">
        <v>1640</v>
      </c>
      <c r="B361" s="1069"/>
      <c r="C361" s="928" t="s">
        <v>1658</v>
      </c>
      <c r="D361" s="928">
        <v>80</v>
      </c>
      <c r="E361" s="945" t="s">
        <v>1653</v>
      </c>
      <c r="F361" s="1044" t="s">
        <v>2231</v>
      </c>
      <c r="G361" s="1073"/>
      <c r="H361" s="1076"/>
      <c r="I361" s="873">
        <f t="shared" si="11"/>
        <v>44493.389999999992</v>
      </c>
      <c r="J361" s="873">
        <f t="shared" si="12"/>
        <v>29662.259999999995</v>
      </c>
      <c r="K361" s="873">
        <v>74155.649999999994</v>
      </c>
    </row>
    <row r="362" spans="1:11" s="901" customFormat="1" ht="112.5" customHeight="1">
      <c r="A362" s="1068" t="s">
        <v>1641</v>
      </c>
      <c r="B362" s="1069"/>
      <c r="C362" s="928" t="s">
        <v>1658</v>
      </c>
      <c r="D362" s="928">
        <v>40</v>
      </c>
      <c r="E362" s="945" t="s">
        <v>1654</v>
      </c>
      <c r="F362" s="1045"/>
      <c r="G362" s="1073"/>
      <c r="H362" s="1076"/>
      <c r="I362" s="873">
        <f t="shared" si="11"/>
        <v>27000</v>
      </c>
      <c r="J362" s="873">
        <f t="shared" si="12"/>
        <v>18000</v>
      </c>
      <c r="K362" s="873">
        <v>45000</v>
      </c>
    </row>
    <row r="363" spans="1:11" s="901" customFormat="1" ht="112.5" customHeight="1">
      <c r="A363" s="1068" t="s">
        <v>1642</v>
      </c>
      <c r="B363" s="1069"/>
      <c r="C363" s="928" t="s">
        <v>1658</v>
      </c>
      <c r="D363" s="928">
        <v>15</v>
      </c>
      <c r="E363" s="945" t="s">
        <v>1655</v>
      </c>
      <c r="F363" s="1045"/>
      <c r="G363" s="1073"/>
      <c r="H363" s="1076"/>
      <c r="I363" s="873">
        <f t="shared" si="11"/>
        <v>16200</v>
      </c>
      <c r="J363" s="873">
        <f t="shared" si="12"/>
        <v>10800</v>
      </c>
      <c r="K363" s="873">
        <v>27000</v>
      </c>
    </row>
    <row r="364" spans="1:11" s="901" customFormat="1" ht="112.5" customHeight="1">
      <c r="A364" s="1068" t="s">
        <v>1643</v>
      </c>
      <c r="B364" s="1069"/>
      <c r="C364" s="928" t="s">
        <v>1659</v>
      </c>
      <c r="D364" s="946">
        <v>85</v>
      </c>
      <c r="E364" s="945" t="s">
        <v>1656</v>
      </c>
      <c r="F364" s="1046"/>
      <c r="G364" s="1074"/>
      <c r="H364" s="1077"/>
      <c r="I364" s="873">
        <f t="shared" si="11"/>
        <v>21600</v>
      </c>
      <c r="J364" s="873">
        <f t="shared" si="12"/>
        <v>14400</v>
      </c>
      <c r="K364" s="873">
        <v>36000</v>
      </c>
    </row>
    <row r="365" spans="1:11" s="902" customFormat="1" ht="97.5" customHeight="1">
      <c r="A365" s="1070" t="s">
        <v>278</v>
      </c>
      <c r="B365" s="1071"/>
      <c r="C365" s="925"/>
      <c r="D365" s="925"/>
      <c r="E365" s="925"/>
      <c r="F365" s="931"/>
      <c r="G365" s="925"/>
      <c r="H365" s="926"/>
      <c r="I365" s="871">
        <f>SUM(I366)</f>
        <v>2700</v>
      </c>
      <c r="J365" s="871">
        <f>SUM(J366)</f>
        <v>1800</v>
      </c>
      <c r="K365" s="871">
        <f>I365+J365</f>
        <v>4500</v>
      </c>
    </row>
    <row r="366" spans="1:11" s="901" customFormat="1" ht="97.5" customHeight="1">
      <c r="A366" s="1068" t="s">
        <v>1661</v>
      </c>
      <c r="B366" s="1069"/>
      <c r="C366" s="928" t="s">
        <v>1215</v>
      </c>
      <c r="D366" s="928">
        <v>50</v>
      </c>
      <c r="E366" s="945" t="s">
        <v>1660</v>
      </c>
      <c r="F366" s="842" t="s">
        <v>2234</v>
      </c>
      <c r="G366" s="929">
        <v>8100</v>
      </c>
      <c r="H366" s="932" t="s">
        <v>2445</v>
      </c>
      <c r="I366" s="873">
        <f>K366/100*60</f>
        <v>2700</v>
      </c>
      <c r="J366" s="873">
        <f>K366/100*40</f>
        <v>1800</v>
      </c>
      <c r="K366" s="873">
        <v>4500</v>
      </c>
    </row>
    <row r="367" spans="1:11" s="902" customFormat="1" ht="97.5" customHeight="1">
      <c r="A367" s="1070" t="s">
        <v>312</v>
      </c>
      <c r="B367" s="1071"/>
      <c r="C367" s="925"/>
      <c r="D367" s="925"/>
      <c r="E367" s="925"/>
      <c r="F367" s="931"/>
      <c r="G367" s="925"/>
      <c r="H367" s="926"/>
      <c r="I367" s="871">
        <f>SUM(I368:I368)</f>
        <v>6000</v>
      </c>
      <c r="J367" s="871">
        <f>SUM(J368:J368)</f>
        <v>4000</v>
      </c>
      <c r="K367" s="871">
        <f>I367+J367</f>
        <v>10000</v>
      </c>
    </row>
    <row r="368" spans="1:11" s="901" customFormat="1" ht="97.5" customHeight="1">
      <c r="A368" s="1068" t="s">
        <v>1662</v>
      </c>
      <c r="B368" s="1069"/>
      <c r="C368" s="928" t="s">
        <v>1663</v>
      </c>
      <c r="D368" s="928">
        <v>16</v>
      </c>
      <c r="E368" s="945" t="s">
        <v>1664</v>
      </c>
      <c r="F368" s="842" t="s">
        <v>2224</v>
      </c>
      <c r="G368" s="929">
        <v>8100</v>
      </c>
      <c r="H368" s="932" t="s">
        <v>2273</v>
      </c>
      <c r="I368" s="873">
        <f>K368/100*60</f>
        <v>6000</v>
      </c>
      <c r="J368" s="873">
        <f>K368/100*40</f>
        <v>4000</v>
      </c>
      <c r="K368" s="873">
        <v>10000</v>
      </c>
    </row>
    <row r="369" spans="1:11" s="901" customFormat="1" ht="97.5" customHeight="1">
      <c r="A369" s="1041" t="s">
        <v>2455</v>
      </c>
      <c r="B369" s="1041"/>
      <c r="C369" s="1042"/>
      <c r="D369" s="1042"/>
      <c r="E369" s="1042"/>
      <c r="F369" s="1042"/>
      <c r="G369" s="1042"/>
      <c r="H369" s="1042"/>
      <c r="I369" s="1042"/>
      <c r="J369" s="903"/>
      <c r="K369" s="903"/>
    </row>
    <row r="370" spans="1:11" s="901" customFormat="1" ht="97.5" customHeight="1">
      <c r="A370" s="855"/>
      <c r="B370" s="855"/>
      <c r="C370" s="952"/>
      <c r="D370" s="952"/>
      <c r="E370" s="953"/>
      <c r="F370" s="755"/>
      <c r="G370" s="954"/>
      <c r="H370" s="955"/>
      <c r="I370" s="903"/>
      <c r="J370" s="903"/>
      <c r="K370" s="903"/>
    </row>
    <row r="371" spans="1:11" s="902" customFormat="1" ht="45.75">
      <c r="A371" s="979" t="s">
        <v>2493</v>
      </c>
      <c r="B371" s="979"/>
      <c r="C371" s="979"/>
      <c r="D371" s="979"/>
      <c r="E371" s="979"/>
      <c r="F371" s="979"/>
      <c r="G371" s="979"/>
      <c r="H371" s="979"/>
      <c r="I371" s="979"/>
      <c r="J371" s="979"/>
      <c r="K371" s="979"/>
    </row>
    <row r="372" spans="1:11" s="902" customFormat="1" ht="45.75">
      <c r="A372" s="979" t="s">
        <v>52</v>
      </c>
      <c r="B372" s="979"/>
      <c r="C372" s="979"/>
      <c r="D372" s="979"/>
      <c r="E372" s="979"/>
      <c r="F372" s="979"/>
      <c r="G372" s="979"/>
      <c r="H372" s="979"/>
      <c r="I372" s="979"/>
      <c r="J372" s="979"/>
      <c r="K372" s="979"/>
    </row>
    <row r="373" spans="1:11" s="902" customFormat="1" ht="45.75">
      <c r="A373" s="1040" t="s">
        <v>50</v>
      </c>
      <c r="B373" s="1040"/>
      <c r="C373" s="1040"/>
      <c r="D373" s="1040"/>
      <c r="E373" s="1040"/>
      <c r="F373" s="1040"/>
      <c r="G373" s="1040"/>
      <c r="H373" s="1040"/>
      <c r="I373" s="1040"/>
      <c r="J373" s="1040"/>
      <c r="K373" s="1040"/>
    </row>
    <row r="374" spans="1:11" s="902" customFormat="1" ht="45.75">
      <c r="A374" s="933"/>
      <c r="B374" s="933"/>
      <c r="C374" s="933"/>
      <c r="D374" s="933"/>
      <c r="E374" s="933"/>
      <c r="F374" s="933"/>
      <c r="G374" s="934"/>
      <c r="H374" s="934"/>
      <c r="I374" s="934"/>
      <c r="J374" s="934"/>
      <c r="K374" s="934"/>
    </row>
    <row r="375" spans="1:11" s="902" customFormat="1" ht="45.75">
      <c r="A375" s="979" t="s">
        <v>1489</v>
      </c>
      <c r="B375" s="979"/>
      <c r="C375" s="979"/>
      <c r="D375" s="979"/>
      <c r="E375" s="979"/>
      <c r="F375" s="979"/>
      <c r="G375" s="979"/>
      <c r="H375" s="979"/>
      <c r="I375" s="979"/>
      <c r="J375" s="979"/>
      <c r="K375" s="979"/>
    </row>
    <row r="376" spans="1:11" s="902" customFormat="1" ht="45.75">
      <c r="A376" s="933"/>
      <c r="B376" s="933"/>
      <c r="C376" s="933"/>
      <c r="D376" s="933"/>
      <c r="E376" s="933"/>
      <c r="F376" s="933"/>
      <c r="G376" s="934"/>
      <c r="H376" s="934"/>
      <c r="I376" s="934"/>
      <c r="J376" s="934"/>
      <c r="K376" s="934"/>
    </row>
    <row r="377" spans="1:11" s="902" customFormat="1" ht="45.75">
      <c r="A377" s="933"/>
      <c r="B377" s="933"/>
      <c r="C377" s="933"/>
      <c r="D377" s="933"/>
      <c r="E377" s="933"/>
      <c r="F377" s="933"/>
      <c r="G377" s="934"/>
      <c r="H377" s="934"/>
      <c r="I377" s="934"/>
      <c r="J377" s="934"/>
      <c r="K377" s="934"/>
    </row>
    <row r="378" spans="1:11" s="902" customFormat="1" ht="45.75">
      <c r="A378" s="979"/>
      <c r="B378" s="979"/>
      <c r="C378" s="979"/>
      <c r="D378" s="979"/>
      <c r="E378" s="979"/>
      <c r="F378" s="979"/>
      <c r="G378" s="979"/>
      <c r="H378" s="979"/>
      <c r="I378" s="979"/>
      <c r="J378" s="979"/>
      <c r="K378" s="979"/>
    </row>
    <row r="379" spans="1:11" s="902" customFormat="1" ht="45.75">
      <c r="A379" s="1067" t="s">
        <v>1381</v>
      </c>
      <c r="B379" s="1067"/>
      <c r="C379" s="1067"/>
      <c r="D379" s="1067"/>
      <c r="E379" s="1067"/>
      <c r="F379" s="1067"/>
      <c r="G379" s="1067"/>
      <c r="H379" s="1067"/>
      <c r="I379" s="1067"/>
      <c r="J379" s="1067"/>
      <c r="K379" s="1067"/>
    </row>
    <row r="380" spans="1:11" s="902" customFormat="1" ht="97.5" customHeight="1">
      <c r="A380" s="1108" t="s">
        <v>37</v>
      </c>
      <c r="B380" s="1108"/>
      <c r="C380" s="1108" t="s">
        <v>178</v>
      </c>
      <c r="D380" s="1108" t="s">
        <v>179</v>
      </c>
      <c r="E380" s="1108" t="s">
        <v>1521</v>
      </c>
      <c r="F380" s="1108" t="s">
        <v>14</v>
      </c>
      <c r="G380" s="1108" t="s">
        <v>1515</v>
      </c>
      <c r="H380" s="1108" t="s">
        <v>16</v>
      </c>
      <c r="I380" s="1108" t="s">
        <v>1490</v>
      </c>
      <c r="J380" s="1108" t="s">
        <v>2506</v>
      </c>
      <c r="K380" s="1108" t="s">
        <v>200</v>
      </c>
    </row>
    <row r="381" spans="1:11" s="900" customFormat="1" ht="97.5" customHeight="1">
      <c r="A381" s="1108"/>
      <c r="B381" s="1108"/>
      <c r="C381" s="1108"/>
      <c r="D381" s="1108"/>
      <c r="E381" s="1108"/>
      <c r="F381" s="1108"/>
      <c r="G381" s="1108"/>
      <c r="H381" s="1108"/>
      <c r="I381" s="1108"/>
      <c r="J381" s="1108"/>
      <c r="K381" s="1108"/>
    </row>
    <row r="382" spans="1:11" s="900" customFormat="1" ht="97.5" customHeight="1">
      <c r="A382" s="1109" t="s">
        <v>1563</v>
      </c>
      <c r="B382" s="1110"/>
      <c r="C382" s="921"/>
      <c r="D382" s="921"/>
      <c r="E382" s="922"/>
      <c r="F382" s="923"/>
      <c r="G382" s="924"/>
      <c r="H382" s="924"/>
      <c r="I382" s="920">
        <f>I383+I389+I391</f>
        <v>99103.8</v>
      </c>
      <c r="J382" s="920">
        <f>J383+J389+J391</f>
        <v>66069.2</v>
      </c>
      <c r="K382" s="920">
        <f>I382+J382</f>
        <v>165173</v>
      </c>
    </row>
    <row r="383" spans="1:11" s="902" customFormat="1" ht="97.5" customHeight="1">
      <c r="A383" s="1070" t="s">
        <v>1541</v>
      </c>
      <c r="B383" s="1071"/>
      <c r="C383" s="925"/>
      <c r="D383" s="925"/>
      <c r="E383" s="925"/>
      <c r="F383" s="931"/>
      <c r="G383" s="925"/>
      <c r="H383" s="926"/>
      <c r="I383" s="871">
        <f>SUM(I384:I388)</f>
        <v>85878</v>
      </c>
      <c r="J383" s="871">
        <f>SUM(J384:J388)</f>
        <v>57252</v>
      </c>
      <c r="K383" s="871">
        <f>I383+J383</f>
        <v>143130</v>
      </c>
    </row>
    <row r="384" spans="1:11" s="901" customFormat="1" ht="97.5" customHeight="1">
      <c r="A384" s="1068" t="s">
        <v>1545</v>
      </c>
      <c r="B384" s="1069"/>
      <c r="C384" s="928" t="s">
        <v>1550</v>
      </c>
      <c r="D384" s="928">
        <v>6</v>
      </c>
      <c r="E384" s="945" t="s">
        <v>1558</v>
      </c>
      <c r="F384" s="840" t="s">
        <v>2229</v>
      </c>
      <c r="G384" s="1072">
        <v>8100</v>
      </c>
      <c r="H384" s="1075" t="s">
        <v>2273</v>
      </c>
      <c r="I384" s="873">
        <f>K384/100*60</f>
        <v>13800</v>
      </c>
      <c r="J384" s="873">
        <f>K384/100*40</f>
        <v>9200</v>
      </c>
      <c r="K384" s="873">
        <v>23000</v>
      </c>
    </row>
    <row r="385" spans="1:11" s="901" customFormat="1" ht="97.5" customHeight="1">
      <c r="A385" s="1068" t="s">
        <v>1546</v>
      </c>
      <c r="B385" s="1069"/>
      <c r="C385" s="928" t="s">
        <v>1551</v>
      </c>
      <c r="D385" s="928">
        <v>3</v>
      </c>
      <c r="E385" s="945" t="s">
        <v>1559</v>
      </c>
      <c r="F385" s="840" t="s">
        <v>2230</v>
      </c>
      <c r="G385" s="1073"/>
      <c r="H385" s="1076"/>
      <c r="I385" s="873">
        <f>K385/100*60</f>
        <v>27000</v>
      </c>
      <c r="J385" s="873">
        <f>K385/100*40</f>
        <v>18000</v>
      </c>
      <c r="K385" s="873">
        <v>45000</v>
      </c>
    </row>
    <row r="386" spans="1:11" s="901" customFormat="1" ht="97.5" customHeight="1">
      <c r="A386" s="1068" t="s">
        <v>1547</v>
      </c>
      <c r="B386" s="1069"/>
      <c r="C386" s="928" t="s">
        <v>1552</v>
      </c>
      <c r="D386" s="928">
        <v>70</v>
      </c>
      <c r="E386" s="945" t="s">
        <v>1559</v>
      </c>
      <c r="F386" s="1044" t="s">
        <v>2231</v>
      </c>
      <c r="G386" s="1073"/>
      <c r="H386" s="1076"/>
      <c r="I386" s="873">
        <f>K386/100*60</f>
        <v>4200</v>
      </c>
      <c r="J386" s="873">
        <f>K386/100*40</f>
        <v>2800</v>
      </c>
      <c r="K386" s="873">
        <v>7000</v>
      </c>
    </row>
    <row r="387" spans="1:11" s="901" customFormat="1" ht="97.5" customHeight="1">
      <c r="A387" s="1068" t="s">
        <v>1548</v>
      </c>
      <c r="B387" s="1069"/>
      <c r="C387" s="928" t="s">
        <v>1553</v>
      </c>
      <c r="D387" s="928">
        <v>20</v>
      </c>
      <c r="E387" s="945" t="s">
        <v>1560</v>
      </c>
      <c r="F387" s="1045"/>
      <c r="G387" s="1073"/>
      <c r="H387" s="1076"/>
      <c r="I387" s="873">
        <f>K387/100*60</f>
        <v>6900</v>
      </c>
      <c r="J387" s="873">
        <f>K387/100*40</f>
        <v>4600</v>
      </c>
      <c r="K387" s="873">
        <v>11500</v>
      </c>
    </row>
    <row r="388" spans="1:11" s="901" customFormat="1" ht="97.5" customHeight="1">
      <c r="A388" s="1068" t="s">
        <v>1549</v>
      </c>
      <c r="B388" s="1069"/>
      <c r="C388" s="928" t="s">
        <v>1523</v>
      </c>
      <c r="D388" s="928">
        <v>4</v>
      </c>
      <c r="E388" s="945" t="s">
        <v>1561</v>
      </c>
      <c r="F388" s="1046"/>
      <c r="G388" s="1074"/>
      <c r="H388" s="1077"/>
      <c r="I388" s="873">
        <f>K388/100*60</f>
        <v>33978</v>
      </c>
      <c r="J388" s="873">
        <f>K388/100*40</f>
        <v>22652</v>
      </c>
      <c r="K388" s="873">
        <v>56630</v>
      </c>
    </row>
    <row r="389" spans="1:11" s="902" customFormat="1" ht="97.5" customHeight="1">
      <c r="A389" s="1070" t="s">
        <v>278</v>
      </c>
      <c r="B389" s="1071"/>
      <c r="C389" s="925"/>
      <c r="D389" s="925"/>
      <c r="E389" s="925"/>
      <c r="F389" s="931"/>
      <c r="G389" s="925"/>
      <c r="H389" s="926"/>
      <c r="I389" s="871">
        <f>SUM(I390)</f>
        <v>8100</v>
      </c>
      <c r="J389" s="871">
        <f>SUM(J390)</f>
        <v>5400</v>
      </c>
      <c r="K389" s="871">
        <f>I389+J389</f>
        <v>13500</v>
      </c>
    </row>
    <row r="390" spans="1:11" s="901" customFormat="1" ht="97.5" customHeight="1">
      <c r="A390" s="1068" t="s">
        <v>1554</v>
      </c>
      <c r="B390" s="1069"/>
      <c r="C390" s="928" t="s">
        <v>18</v>
      </c>
      <c r="D390" s="928">
        <v>10</v>
      </c>
      <c r="E390" s="945" t="s">
        <v>1526</v>
      </c>
      <c r="F390" s="842" t="s">
        <v>2234</v>
      </c>
      <c r="G390" s="929">
        <v>8100</v>
      </c>
      <c r="H390" s="932" t="s">
        <v>2445</v>
      </c>
      <c r="I390" s="873">
        <f>K390/100*60</f>
        <v>8100</v>
      </c>
      <c r="J390" s="873">
        <f>K390/100*40</f>
        <v>5400</v>
      </c>
      <c r="K390" s="873">
        <v>13500</v>
      </c>
    </row>
    <row r="391" spans="1:11" s="902" customFormat="1" ht="97.5" customHeight="1">
      <c r="A391" s="1070" t="s">
        <v>312</v>
      </c>
      <c r="B391" s="1071"/>
      <c r="C391" s="925"/>
      <c r="D391" s="925"/>
      <c r="E391" s="925"/>
      <c r="F391" s="931"/>
      <c r="G391" s="925"/>
      <c r="H391" s="926"/>
      <c r="I391" s="871">
        <f>SUM(I392:I393)</f>
        <v>5125.8</v>
      </c>
      <c r="J391" s="871">
        <f>SUM(J392:J393)</f>
        <v>3417.2000000000003</v>
      </c>
      <c r="K391" s="871">
        <f>SUM(K392:K393)</f>
        <v>8543</v>
      </c>
    </row>
    <row r="392" spans="1:11" s="901" customFormat="1" ht="97.5" customHeight="1">
      <c r="A392" s="1068" t="s">
        <v>1555</v>
      </c>
      <c r="B392" s="1069"/>
      <c r="C392" s="928" t="s">
        <v>1551</v>
      </c>
      <c r="D392" s="928">
        <v>3</v>
      </c>
      <c r="E392" s="945" t="s">
        <v>1560</v>
      </c>
      <c r="F392" s="1044" t="s">
        <v>2224</v>
      </c>
      <c r="G392" s="1072">
        <v>8100</v>
      </c>
      <c r="H392" s="1075" t="s">
        <v>2273</v>
      </c>
      <c r="I392" s="873">
        <f>K392/100*60</f>
        <v>1200</v>
      </c>
      <c r="J392" s="873">
        <f>K392/100*40</f>
        <v>800</v>
      </c>
      <c r="K392" s="873">
        <v>2000</v>
      </c>
    </row>
    <row r="393" spans="1:11" s="901" customFormat="1" ht="97.5" customHeight="1">
      <c r="A393" s="1068" t="s">
        <v>1556</v>
      </c>
      <c r="B393" s="1069"/>
      <c r="C393" s="928" t="s">
        <v>1557</v>
      </c>
      <c r="D393" s="928">
        <v>11</v>
      </c>
      <c r="E393" s="945" t="s">
        <v>1562</v>
      </c>
      <c r="F393" s="1046"/>
      <c r="G393" s="1074"/>
      <c r="H393" s="1077"/>
      <c r="I393" s="873">
        <f>K393/100*60</f>
        <v>3925.8</v>
      </c>
      <c r="J393" s="873">
        <f>K393/100*40</f>
        <v>2617.2000000000003</v>
      </c>
      <c r="K393" s="873">
        <v>6543</v>
      </c>
    </row>
    <row r="394" spans="1:11" s="951" customFormat="1" ht="97.5" customHeight="1">
      <c r="A394" s="1125"/>
      <c r="B394" s="1126"/>
      <c r="C394" s="947"/>
      <c r="D394" s="947"/>
      <c r="E394" s="948"/>
      <c r="F394" s="949"/>
      <c r="G394" s="950"/>
      <c r="H394" s="950"/>
      <c r="I394" s="742"/>
      <c r="J394" s="742"/>
      <c r="K394" s="742"/>
    </row>
    <row r="395" spans="1:11" s="902" customFormat="1" ht="97.5" customHeight="1">
      <c r="A395" s="1111" t="s">
        <v>37</v>
      </c>
      <c r="B395" s="1112"/>
      <c r="C395" s="983" t="s">
        <v>178</v>
      </c>
      <c r="D395" s="983" t="s">
        <v>179</v>
      </c>
      <c r="E395" s="983" t="s">
        <v>1521</v>
      </c>
      <c r="F395" s="983" t="s">
        <v>14</v>
      </c>
      <c r="G395" s="983" t="s">
        <v>1515</v>
      </c>
      <c r="H395" s="983" t="s">
        <v>16</v>
      </c>
      <c r="I395" s="1108" t="s">
        <v>1490</v>
      </c>
      <c r="J395" s="1108" t="s">
        <v>2506</v>
      </c>
      <c r="K395" s="983" t="s">
        <v>200</v>
      </c>
    </row>
    <row r="396" spans="1:11" s="900" customFormat="1" ht="97.5" customHeight="1">
      <c r="A396" s="1113"/>
      <c r="B396" s="1114"/>
      <c r="C396" s="984"/>
      <c r="D396" s="984"/>
      <c r="E396" s="984"/>
      <c r="F396" s="984"/>
      <c r="G396" s="984"/>
      <c r="H396" s="984"/>
      <c r="I396" s="1108"/>
      <c r="J396" s="1108"/>
      <c r="K396" s="984"/>
    </row>
    <row r="397" spans="1:11" s="900" customFormat="1" ht="97.5" customHeight="1">
      <c r="A397" s="1109" t="s">
        <v>1514</v>
      </c>
      <c r="B397" s="1110"/>
      <c r="C397" s="921"/>
      <c r="D397" s="921"/>
      <c r="E397" s="922"/>
      <c r="F397" s="923"/>
      <c r="G397" s="924"/>
      <c r="H397" s="924"/>
      <c r="I397" s="920">
        <f>I398+I400+I404+I406</f>
        <v>458095.80000000005</v>
      </c>
      <c r="J397" s="920">
        <f>J398+J400+J404+J406</f>
        <v>305397.2</v>
      </c>
      <c r="K397" s="920">
        <f>I397+J397</f>
        <v>763493</v>
      </c>
    </row>
    <row r="398" spans="1:11" s="927" customFormat="1" ht="97.5" customHeight="1">
      <c r="A398" s="1070" t="s">
        <v>2251</v>
      </c>
      <c r="B398" s="1115"/>
      <c r="C398" s="1115"/>
      <c r="D398" s="1115"/>
      <c r="E398" s="1115"/>
      <c r="F398" s="1071"/>
      <c r="G398" s="925"/>
      <c r="H398" s="926"/>
      <c r="I398" s="871">
        <f>I399</f>
        <v>20635.2</v>
      </c>
      <c r="J398" s="871">
        <f>J399</f>
        <v>13756.800000000001</v>
      </c>
      <c r="K398" s="871">
        <f>I398+J398</f>
        <v>34392</v>
      </c>
    </row>
    <row r="399" spans="1:11" s="901" customFormat="1" ht="97.5" customHeight="1">
      <c r="A399" s="1068" t="s">
        <v>1512</v>
      </c>
      <c r="B399" s="1069"/>
      <c r="C399" s="928" t="s">
        <v>147</v>
      </c>
      <c r="D399" s="928">
        <v>50</v>
      </c>
      <c r="E399" s="945" t="s">
        <v>1516</v>
      </c>
      <c r="F399" s="842" t="s">
        <v>2255</v>
      </c>
      <c r="G399" s="929">
        <v>8100</v>
      </c>
      <c r="H399" s="932" t="s">
        <v>2273</v>
      </c>
      <c r="I399" s="873">
        <f>K399/100*60</f>
        <v>20635.2</v>
      </c>
      <c r="J399" s="873">
        <f>K399/100*40</f>
        <v>13756.800000000001</v>
      </c>
      <c r="K399" s="873">
        <v>34392</v>
      </c>
    </row>
    <row r="400" spans="1:11" s="902" customFormat="1" ht="97.5" customHeight="1">
      <c r="A400" s="1070" t="s">
        <v>1541</v>
      </c>
      <c r="B400" s="1071"/>
      <c r="C400" s="925"/>
      <c r="D400" s="925"/>
      <c r="E400" s="925"/>
      <c r="F400" s="931"/>
      <c r="G400" s="925"/>
      <c r="H400" s="926"/>
      <c r="I400" s="871">
        <f>SUM(I401:I403)</f>
        <v>412860.60000000003</v>
      </c>
      <c r="J400" s="871">
        <f>SUM(J401:J403)</f>
        <v>275240.40000000002</v>
      </c>
      <c r="K400" s="871">
        <f>I400+J400</f>
        <v>688101</v>
      </c>
    </row>
    <row r="401" spans="1:11" s="901" customFormat="1" ht="97.5" customHeight="1">
      <c r="A401" s="1068" t="s">
        <v>1565</v>
      </c>
      <c r="B401" s="1069"/>
      <c r="C401" s="928" t="s">
        <v>1517</v>
      </c>
      <c r="D401" s="928">
        <v>70</v>
      </c>
      <c r="E401" s="945" t="s">
        <v>1518</v>
      </c>
      <c r="F401" s="840" t="s">
        <v>2229</v>
      </c>
      <c r="G401" s="1072">
        <v>8100</v>
      </c>
      <c r="H401" s="1075" t="s">
        <v>2273</v>
      </c>
      <c r="I401" s="873">
        <f>K401/100*60</f>
        <v>271938.60000000003</v>
      </c>
      <c r="J401" s="873">
        <f>K401/100*40</f>
        <v>181292.40000000002</v>
      </c>
      <c r="K401" s="873">
        <v>453231</v>
      </c>
    </row>
    <row r="402" spans="1:11" s="901" customFormat="1" ht="97.5" customHeight="1">
      <c r="A402" s="1068" t="s">
        <v>1513</v>
      </c>
      <c r="B402" s="1069"/>
      <c r="C402" s="928" t="s">
        <v>1519</v>
      </c>
      <c r="D402" s="928">
        <v>40</v>
      </c>
      <c r="E402" s="945" t="s">
        <v>1520</v>
      </c>
      <c r="F402" s="840" t="s">
        <v>2230</v>
      </c>
      <c r="G402" s="1073"/>
      <c r="H402" s="1076"/>
      <c r="I402" s="873">
        <f>K402/100*60</f>
        <v>60000</v>
      </c>
      <c r="J402" s="873">
        <f>K402/100*40</f>
        <v>40000</v>
      </c>
      <c r="K402" s="873">
        <v>100000</v>
      </c>
    </row>
    <row r="403" spans="1:11" s="901" customFormat="1" ht="97.5" customHeight="1">
      <c r="A403" s="1068" t="s">
        <v>1522</v>
      </c>
      <c r="B403" s="1069"/>
      <c r="C403" s="928" t="s">
        <v>1523</v>
      </c>
      <c r="D403" s="928">
        <v>40</v>
      </c>
      <c r="E403" s="945" t="s">
        <v>1524</v>
      </c>
      <c r="F403" s="840" t="s">
        <v>2231</v>
      </c>
      <c r="G403" s="1074"/>
      <c r="H403" s="1077"/>
      <c r="I403" s="873">
        <f>K403/100*60</f>
        <v>80922</v>
      </c>
      <c r="J403" s="873">
        <f>K403/100*40</f>
        <v>53948</v>
      </c>
      <c r="K403" s="873">
        <v>134870</v>
      </c>
    </row>
    <row r="404" spans="1:11" s="902" customFormat="1" ht="97.5" customHeight="1">
      <c r="A404" s="1070" t="s">
        <v>278</v>
      </c>
      <c r="B404" s="1071"/>
      <c r="C404" s="925"/>
      <c r="D404" s="925"/>
      <c r="E404" s="925"/>
      <c r="F404" s="931"/>
      <c r="G404" s="925"/>
      <c r="H404" s="926"/>
      <c r="I404" s="871">
        <f>SUM(I405)</f>
        <v>6600</v>
      </c>
      <c r="J404" s="871">
        <f>SUM(J405)</f>
        <v>4400</v>
      </c>
      <c r="K404" s="871">
        <f>I404+J404</f>
        <v>11000</v>
      </c>
    </row>
    <row r="405" spans="1:11" s="901" customFormat="1" ht="97.5" customHeight="1">
      <c r="A405" s="1068" t="s">
        <v>1510</v>
      </c>
      <c r="B405" s="1069"/>
      <c r="C405" s="928" t="s">
        <v>18</v>
      </c>
      <c r="D405" s="928">
        <v>30</v>
      </c>
      <c r="E405" s="945" t="s">
        <v>1526</v>
      </c>
      <c r="F405" s="842" t="s">
        <v>2234</v>
      </c>
      <c r="G405" s="929">
        <v>8100</v>
      </c>
      <c r="H405" s="932" t="s">
        <v>2445</v>
      </c>
      <c r="I405" s="873">
        <f>K405/100*60</f>
        <v>6600</v>
      </c>
      <c r="J405" s="873">
        <f>K405/100*40</f>
        <v>4400</v>
      </c>
      <c r="K405" s="873">
        <v>11000</v>
      </c>
    </row>
    <row r="406" spans="1:11" s="902" customFormat="1" ht="97.5" customHeight="1">
      <c r="A406" s="1070" t="s">
        <v>312</v>
      </c>
      <c r="B406" s="1071"/>
      <c r="C406" s="925"/>
      <c r="D406" s="925"/>
      <c r="E406" s="925"/>
      <c r="F406" s="931"/>
      <c r="G406" s="925"/>
      <c r="H406" s="926"/>
      <c r="I406" s="871">
        <f>I407</f>
        <v>18000</v>
      </c>
      <c r="J406" s="871">
        <f>J407</f>
        <v>12000</v>
      </c>
      <c r="K406" s="871">
        <f>I406+J406</f>
        <v>30000</v>
      </c>
    </row>
    <row r="407" spans="1:11" s="901" customFormat="1" ht="97.5" customHeight="1">
      <c r="A407" s="1068" t="s">
        <v>1511</v>
      </c>
      <c r="B407" s="1069"/>
      <c r="C407" s="928" t="s">
        <v>1525</v>
      </c>
      <c r="D407" s="928">
        <v>60</v>
      </c>
      <c r="E407" s="945" t="s">
        <v>1527</v>
      </c>
      <c r="F407" s="842" t="s">
        <v>2224</v>
      </c>
      <c r="G407" s="929">
        <v>8100</v>
      </c>
      <c r="H407" s="932" t="s">
        <v>2273</v>
      </c>
      <c r="I407" s="873">
        <f>K407/100*60</f>
        <v>18000</v>
      </c>
      <c r="J407" s="873">
        <f>K407/100*40</f>
        <v>12000</v>
      </c>
      <c r="K407" s="873">
        <v>30000</v>
      </c>
    </row>
    <row r="408" spans="1:11" s="901" customFormat="1" ht="97.5" customHeight="1">
      <c r="A408" s="1041" t="s">
        <v>2455</v>
      </c>
      <c r="B408" s="1041"/>
      <c r="C408" s="1042"/>
      <c r="D408" s="1042"/>
      <c r="E408" s="1042"/>
      <c r="F408" s="1042"/>
      <c r="G408" s="1042"/>
      <c r="H408" s="1042"/>
      <c r="I408" s="1042"/>
      <c r="J408" s="903"/>
      <c r="K408" s="903"/>
    </row>
    <row r="409" spans="1:11" s="902" customFormat="1" ht="45.75">
      <c r="A409" s="979" t="s">
        <v>2493</v>
      </c>
      <c r="B409" s="979"/>
      <c r="C409" s="979"/>
      <c r="D409" s="979"/>
      <c r="E409" s="979"/>
      <c r="F409" s="979"/>
      <c r="G409" s="979"/>
      <c r="H409" s="979"/>
      <c r="I409" s="979"/>
      <c r="J409" s="979"/>
      <c r="K409" s="979"/>
    </row>
    <row r="410" spans="1:11" s="902" customFormat="1" ht="45.75">
      <c r="A410" s="979" t="s">
        <v>52</v>
      </c>
      <c r="B410" s="979"/>
      <c r="C410" s="979"/>
      <c r="D410" s="979"/>
      <c r="E410" s="979"/>
      <c r="F410" s="979"/>
      <c r="G410" s="979"/>
      <c r="H410" s="979"/>
      <c r="I410" s="979"/>
      <c r="J410" s="979"/>
      <c r="K410" s="979"/>
    </row>
    <row r="411" spans="1:11" s="902" customFormat="1" ht="45.75">
      <c r="A411" s="1040" t="s">
        <v>50</v>
      </c>
      <c r="B411" s="1040"/>
      <c r="C411" s="1040"/>
      <c r="D411" s="1040"/>
      <c r="E411" s="1040"/>
      <c r="F411" s="1040"/>
      <c r="G411" s="1040"/>
      <c r="H411" s="1040"/>
      <c r="I411" s="1040"/>
      <c r="J411" s="1040"/>
      <c r="K411" s="1040"/>
    </row>
    <row r="412" spans="1:11" s="902" customFormat="1" ht="45.75">
      <c r="A412" s="933"/>
      <c r="B412" s="933"/>
      <c r="C412" s="933"/>
      <c r="D412" s="933"/>
      <c r="E412" s="933"/>
      <c r="F412" s="933"/>
      <c r="G412" s="934"/>
      <c r="H412" s="934"/>
      <c r="I412" s="934"/>
      <c r="J412" s="934"/>
      <c r="K412" s="934"/>
    </row>
    <row r="413" spans="1:11" s="902" customFormat="1" ht="45.75">
      <c r="A413" s="979" t="s">
        <v>1489</v>
      </c>
      <c r="B413" s="979"/>
      <c r="C413" s="979"/>
      <c r="D413" s="979"/>
      <c r="E413" s="979"/>
      <c r="F413" s="979"/>
      <c r="G413" s="979"/>
      <c r="H413" s="979"/>
      <c r="I413" s="979"/>
      <c r="J413" s="979"/>
      <c r="K413" s="979"/>
    </row>
    <row r="414" spans="1:11" s="902" customFormat="1" ht="45.75">
      <c r="A414" s="933"/>
      <c r="B414" s="933"/>
      <c r="C414" s="933"/>
      <c r="D414" s="933"/>
      <c r="E414" s="933"/>
      <c r="F414" s="933"/>
      <c r="G414" s="934"/>
      <c r="H414" s="934"/>
      <c r="I414" s="934"/>
      <c r="J414" s="934"/>
      <c r="K414" s="934"/>
    </row>
    <row r="415" spans="1:11" s="902" customFormat="1" ht="45.75">
      <c r="A415" s="933"/>
      <c r="B415" s="933"/>
      <c r="C415" s="933"/>
      <c r="D415" s="933"/>
      <c r="E415" s="933"/>
      <c r="F415" s="933"/>
      <c r="G415" s="934"/>
      <c r="H415" s="934"/>
      <c r="I415" s="934"/>
      <c r="J415" s="934"/>
      <c r="K415" s="934"/>
    </row>
    <row r="416" spans="1:11" s="902" customFormat="1" ht="45.75">
      <c r="A416" s="979"/>
      <c r="B416" s="979"/>
      <c r="C416" s="979"/>
      <c r="D416" s="979"/>
      <c r="E416" s="979"/>
      <c r="F416" s="979"/>
      <c r="G416" s="979"/>
      <c r="H416" s="979"/>
      <c r="I416" s="979"/>
      <c r="J416" s="979"/>
      <c r="K416" s="979"/>
    </row>
    <row r="417" spans="1:11" s="902" customFormat="1" ht="45.75">
      <c r="A417" s="1067" t="s">
        <v>1381</v>
      </c>
      <c r="B417" s="1067"/>
      <c r="C417" s="1067"/>
      <c r="D417" s="1067"/>
      <c r="E417" s="1067"/>
      <c r="F417" s="1067"/>
      <c r="G417" s="1067"/>
      <c r="H417" s="1067"/>
      <c r="I417" s="1067"/>
      <c r="J417" s="1067"/>
      <c r="K417" s="1067"/>
    </row>
    <row r="418" spans="1:11" s="902" customFormat="1" ht="97.5" customHeight="1">
      <c r="A418" s="1111" t="s">
        <v>37</v>
      </c>
      <c r="B418" s="1112"/>
      <c r="C418" s="983" t="s">
        <v>178</v>
      </c>
      <c r="D418" s="983" t="s">
        <v>179</v>
      </c>
      <c r="E418" s="983" t="s">
        <v>1521</v>
      </c>
      <c r="F418" s="983" t="s">
        <v>14</v>
      </c>
      <c r="G418" s="983" t="s">
        <v>1515</v>
      </c>
      <c r="H418" s="983" t="s">
        <v>16</v>
      </c>
      <c r="I418" s="1108" t="s">
        <v>1490</v>
      </c>
      <c r="J418" s="1108" t="s">
        <v>2506</v>
      </c>
      <c r="K418" s="983" t="s">
        <v>200</v>
      </c>
    </row>
    <row r="419" spans="1:11" s="900" customFormat="1" ht="97.5" customHeight="1">
      <c r="A419" s="1113"/>
      <c r="B419" s="1114"/>
      <c r="C419" s="984"/>
      <c r="D419" s="984"/>
      <c r="E419" s="984"/>
      <c r="F419" s="984"/>
      <c r="G419" s="984"/>
      <c r="H419" s="984"/>
      <c r="I419" s="1108"/>
      <c r="J419" s="1108"/>
      <c r="K419" s="984"/>
    </row>
    <row r="420" spans="1:11" s="900" customFormat="1" ht="97.5" customHeight="1">
      <c r="A420" s="1109" t="s">
        <v>1665</v>
      </c>
      <c r="B420" s="1110"/>
      <c r="C420" s="921"/>
      <c r="D420" s="921"/>
      <c r="E420" s="922"/>
      <c r="F420" s="923"/>
      <c r="G420" s="924"/>
      <c r="H420" s="924"/>
      <c r="I420" s="920">
        <f>I421+I423+I434+I436</f>
        <v>458956.2</v>
      </c>
      <c r="J420" s="920">
        <f>J421+J423+J434+J436</f>
        <v>305970.8</v>
      </c>
      <c r="K420" s="920">
        <f>I420+J420</f>
        <v>764927</v>
      </c>
    </row>
    <row r="421" spans="1:11" s="927" customFormat="1" ht="97.5" customHeight="1">
      <c r="A421" s="1070" t="s">
        <v>2251</v>
      </c>
      <c r="B421" s="1115"/>
      <c r="C421" s="1115"/>
      <c r="D421" s="1115"/>
      <c r="E421" s="1115"/>
      <c r="F421" s="1071"/>
      <c r="G421" s="925"/>
      <c r="H421" s="926"/>
      <c r="I421" s="871">
        <f>I422</f>
        <v>39048.6</v>
      </c>
      <c r="J421" s="871">
        <f>J422</f>
        <v>26032.399999999998</v>
      </c>
      <c r="K421" s="871">
        <f>I421+J421</f>
        <v>65081</v>
      </c>
    </row>
    <row r="422" spans="1:11" s="901" customFormat="1" ht="97.5" customHeight="1">
      <c r="A422" s="1068" t="s">
        <v>246</v>
      </c>
      <c r="B422" s="1069"/>
      <c r="C422" s="928" t="s">
        <v>147</v>
      </c>
      <c r="D422" s="928">
        <v>35</v>
      </c>
      <c r="E422" s="945" t="s">
        <v>1666</v>
      </c>
      <c r="F422" s="842" t="s">
        <v>2256</v>
      </c>
      <c r="G422" s="929">
        <v>8100</v>
      </c>
      <c r="H422" s="932" t="s">
        <v>2273</v>
      </c>
      <c r="I422" s="873">
        <f>K422/100*60</f>
        <v>39048.6</v>
      </c>
      <c r="J422" s="873">
        <f>K422/100*40</f>
        <v>26032.399999999998</v>
      </c>
      <c r="K422" s="873">
        <v>65081</v>
      </c>
    </row>
    <row r="423" spans="1:11" s="902" customFormat="1" ht="97.5" customHeight="1">
      <c r="A423" s="1070" t="s">
        <v>1541</v>
      </c>
      <c r="B423" s="1071"/>
      <c r="C423" s="925"/>
      <c r="D423" s="925"/>
      <c r="E423" s="925"/>
      <c r="F423" s="931"/>
      <c r="G423" s="925"/>
      <c r="H423" s="926"/>
      <c r="I423" s="871">
        <f>SUM(I424:I433)</f>
        <v>380117.4</v>
      </c>
      <c r="J423" s="871">
        <f>SUM(J424:J433)</f>
        <v>253411.6</v>
      </c>
      <c r="K423" s="871">
        <f>I423+J423</f>
        <v>633529</v>
      </c>
    </row>
    <row r="424" spans="1:11" s="901" customFormat="1" ht="97.5" customHeight="1">
      <c r="A424" s="1068" t="s">
        <v>1667</v>
      </c>
      <c r="B424" s="1069"/>
      <c r="C424" s="928" t="s">
        <v>147</v>
      </c>
      <c r="D424" s="928">
        <v>160</v>
      </c>
      <c r="E424" s="945" t="s">
        <v>1684</v>
      </c>
      <c r="F424" s="840" t="s">
        <v>2229</v>
      </c>
      <c r="G424" s="1072">
        <v>8100</v>
      </c>
      <c r="H424" s="1075" t="s">
        <v>2273</v>
      </c>
      <c r="I424" s="873">
        <f t="shared" ref="I424:I433" si="13">K424/100*60</f>
        <v>42000</v>
      </c>
      <c r="J424" s="873">
        <f t="shared" ref="J424:J433" si="14">K424/100*40</f>
        <v>28000</v>
      </c>
      <c r="K424" s="873">
        <v>70000</v>
      </c>
    </row>
    <row r="425" spans="1:11" s="901" customFormat="1" ht="97.5" customHeight="1">
      <c r="A425" s="1068" t="s">
        <v>1668</v>
      </c>
      <c r="B425" s="1069"/>
      <c r="C425" s="928" t="s">
        <v>1677</v>
      </c>
      <c r="D425" s="928">
        <v>1</v>
      </c>
      <c r="E425" s="945" t="s">
        <v>1685</v>
      </c>
      <c r="F425" s="840" t="s">
        <v>2230</v>
      </c>
      <c r="G425" s="1073"/>
      <c r="H425" s="1076"/>
      <c r="I425" s="873">
        <f t="shared" si="13"/>
        <v>210000</v>
      </c>
      <c r="J425" s="873">
        <f t="shared" si="14"/>
        <v>140000</v>
      </c>
      <c r="K425" s="873">
        <v>350000</v>
      </c>
    </row>
    <row r="426" spans="1:11" s="901" customFormat="1" ht="97.5" customHeight="1">
      <c r="A426" s="1068" t="s">
        <v>1669</v>
      </c>
      <c r="B426" s="1069"/>
      <c r="C426" s="928" t="s">
        <v>1678</v>
      </c>
      <c r="D426" s="946">
        <v>2</v>
      </c>
      <c r="E426" s="945" t="s">
        <v>1686</v>
      </c>
      <c r="F426" s="1044" t="s">
        <v>2231</v>
      </c>
      <c r="G426" s="1073"/>
      <c r="H426" s="1076"/>
      <c r="I426" s="873">
        <f t="shared" si="13"/>
        <v>12000</v>
      </c>
      <c r="J426" s="873">
        <f t="shared" si="14"/>
        <v>8000</v>
      </c>
      <c r="K426" s="873">
        <v>20000</v>
      </c>
    </row>
    <row r="427" spans="1:11" s="901" customFormat="1" ht="97.5" customHeight="1">
      <c r="A427" s="1068" t="s">
        <v>1670</v>
      </c>
      <c r="B427" s="1069"/>
      <c r="C427" s="928" t="s">
        <v>1679</v>
      </c>
      <c r="D427" s="928">
        <v>12</v>
      </c>
      <c r="E427" s="945" t="s">
        <v>1687</v>
      </c>
      <c r="F427" s="1045"/>
      <c r="G427" s="1073"/>
      <c r="H427" s="1076"/>
      <c r="I427" s="873">
        <f t="shared" si="13"/>
        <v>6000</v>
      </c>
      <c r="J427" s="873">
        <f t="shared" si="14"/>
        <v>4000</v>
      </c>
      <c r="K427" s="873">
        <v>10000</v>
      </c>
    </row>
    <row r="428" spans="1:11" s="901" customFormat="1" ht="97.5" customHeight="1">
      <c r="A428" s="1068" t="s">
        <v>1671</v>
      </c>
      <c r="B428" s="1069"/>
      <c r="C428" s="928" t="s">
        <v>1680</v>
      </c>
      <c r="D428" s="928">
        <v>2</v>
      </c>
      <c r="E428" s="945" t="s">
        <v>1688</v>
      </c>
      <c r="F428" s="1045"/>
      <c r="G428" s="1073"/>
      <c r="H428" s="1076"/>
      <c r="I428" s="873">
        <f t="shared" si="13"/>
        <v>49517.399999999994</v>
      </c>
      <c r="J428" s="873">
        <f t="shared" si="14"/>
        <v>33011.599999999999</v>
      </c>
      <c r="K428" s="873">
        <v>82529</v>
      </c>
    </row>
    <row r="429" spans="1:11" s="901" customFormat="1" ht="97.5" customHeight="1">
      <c r="A429" s="1068" t="s">
        <v>1672</v>
      </c>
      <c r="B429" s="1069"/>
      <c r="C429" s="928" t="s">
        <v>1681</v>
      </c>
      <c r="D429" s="928">
        <v>2</v>
      </c>
      <c r="E429" s="945" t="s">
        <v>1689</v>
      </c>
      <c r="F429" s="1045"/>
      <c r="G429" s="1073"/>
      <c r="H429" s="1076"/>
      <c r="I429" s="873">
        <f t="shared" si="13"/>
        <v>30000</v>
      </c>
      <c r="J429" s="873">
        <f t="shared" si="14"/>
        <v>20000</v>
      </c>
      <c r="K429" s="873">
        <v>50000</v>
      </c>
    </row>
    <row r="430" spans="1:11" s="901" customFormat="1" ht="97.5" customHeight="1">
      <c r="A430" s="1068" t="s">
        <v>1673</v>
      </c>
      <c r="B430" s="1069"/>
      <c r="C430" s="928" t="s">
        <v>1681</v>
      </c>
      <c r="D430" s="928">
        <v>2</v>
      </c>
      <c r="E430" s="945" t="s">
        <v>1690</v>
      </c>
      <c r="F430" s="1045"/>
      <c r="G430" s="1073"/>
      <c r="H430" s="1076"/>
      <c r="I430" s="873">
        <f t="shared" si="13"/>
        <v>18000</v>
      </c>
      <c r="J430" s="873">
        <f t="shared" si="14"/>
        <v>12000</v>
      </c>
      <c r="K430" s="873">
        <v>30000</v>
      </c>
    </row>
    <row r="431" spans="1:11" s="901" customFormat="1" ht="97.5" customHeight="1">
      <c r="A431" s="1068" t="s">
        <v>1674</v>
      </c>
      <c r="B431" s="1069"/>
      <c r="C431" s="928" t="s">
        <v>1682</v>
      </c>
      <c r="D431" s="928">
        <v>2</v>
      </c>
      <c r="E431" s="945" t="s">
        <v>1691</v>
      </c>
      <c r="F431" s="1045"/>
      <c r="G431" s="1073"/>
      <c r="H431" s="1076"/>
      <c r="I431" s="873">
        <f t="shared" si="13"/>
        <v>6000</v>
      </c>
      <c r="J431" s="873">
        <f t="shared" si="14"/>
        <v>4000</v>
      </c>
      <c r="K431" s="873">
        <v>10000</v>
      </c>
    </row>
    <row r="432" spans="1:11" s="901" customFormat="1" ht="97.5" customHeight="1">
      <c r="A432" s="1068" t="s">
        <v>1675</v>
      </c>
      <c r="B432" s="1069"/>
      <c r="C432" s="928" t="s">
        <v>1683</v>
      </c>
      <c r="D432" s="928">
        <v>1</v>
      </c>
      <c r="E432" s="945" t="s">
        <v>1692</v>
      </c>
      <c r="F432" s="1045"/>
      <c r="G432" s="1073"/>
      <c r="H432" s="1076"/>
      <c r="I432" s="873">
        <f t="shared" si="13"/>
        <v>4200</v>
      </c>
      <c r="J432" s="873">
        <f t="shared" si="14"/>
        <v>2800</v>
      </c>
      <c r="K432" s="873">
        <v>7000</v>
      </c>
    </row>
    <row r="433" spans="1:11" s="901" customFormat="1" ht="97.5" customHeight="1">
      <c r="A433" s="1068" t="s">
        <v>1676</v>
      </c>
      <c r="B433" s="1069"/>
      <c r="C433" s="928" t="s">
        <v>1682</v>
      </c>
      <c r="D433" s="946">
        <v>2</v>
      </c>
      <c r="E433" s="945" t="s">
        <v>1692</v>
      </c>
      <c r="F433" s="1046"/>
      <c r="G433" s="1074"/>
      <c r="H433" s="1077"/>
      <c r="I433" s="873">
        <f t="shared" si="13"/>
        <v>2400</v>
      </c>
      <c r="J433" s="873">
        <f t="shared" si="14"/>
        <v>1600</v>
      </c>
      <c r="K433" s="873">
        <v>4000</v>
      </c>
    </row>
    <row r="434" spans="1:11" s="902" customFormat="1" ht="97.5" customHeight="1">
      <c r="A434" s="1070" t="s">
        <v>278</v>
      </c>
      <c r="B434" s="1071"/>
      <c r="C434" s="925"/>
      <c r="D434" s="925"/>
      <c r="E434" s="925"/>
      <c r="F434" s="931"/>
      <c r="G434" s="925"/>
      <c r="H434" s="926"/>
      <c r="I434" s="871">
        <f>SUM(I435)</f>
        <v>9000</v>
      </c>
      <c r="J434" s="871">
        <f>SUM(J435)</f>
        <v>6000</v>
      </c>
      <c r="K434" s="871">
        <f>I434+J434</f>
        <v>15000</v>
      </c>
    </row>
    <row r="435" spans="1:11" s="901" customFormat="1" ht="97.5" customHeight="1">
      <c r="A435" s="1068" t="s">
        <v>1595</v>
      </c>
      <c r="B435" s="1069"/>
      <c r="C435" s="928" t="s">
        <v>18</v>
      </c>
      <c r="D435" s="928">
        <v>30</v>
      </c>
      <c r="E435" s="945" t="s">
        <v>1693</v>
      </c>
      <c r="F435" s="842" t="s">
        <v>2234</v>
      </c>
      <c r="G435" s="929">
        <v>8100</v>
      </c>
      <c r="H435" s="932" t="s">
        <v>2445</v>
      </c>
      <c r="I435" s="873">
        <f>K435/100*60</f>
        <v>9000</v>
      </c>
      <c r="J435" s="873">
        <f>K435/100*40</f>
        <v>6000</v>
      </c>
      <c r="K435" s="873">
        <v>15000</v>
      </c>
    </row>
    <row r="436" spans="1:11" s="902" customFormat="1" ht="97.5" customHeight="1">
      <c r="A436" s="1070" t="s">
        <v>312</v>
      </c>
      <c r="B436" s="1071"/>
      <c r="C436" s="925"/>
      <c r="D436" s="925"/>
      <c r="E436" s="925"/>
      <c r="F436" s="931"/>
      <c r="G436" s="925"/>
      <c r="H436" s="926"/>
      <c r="I436" s="871">
        <f>SUM(I437:I440)</f>
        <v>30790.2</v>
      </c>
      <c r="J436" s="871">
        <f>SUM(J437:J440)</f>
        <v>20526.8</v>
      </c>
      <c r="K436" s="871">
        <f>I436+J436</f>
        <v>51317</v>
      </c>
    </row>
    <row r="437" spans="1:11" s="901" customFormat="1" ht="97.5" customHeight="1">
      <c r="A437" s="1068" t="s">
        <v>1694</v>
      </c>
      <c r="B437" s="1069"/>
      <c r="C437" s="928" t="s">
        <v>1698</v>
      </c>
      <c r="D437" s="928">
        <v>2</v>
      </c>
      <c r="E437" s="945" t="s">
        <v>1692</v>
      </c>
      <c r="F437" s="1044" t="s">
        <v>2224</v>
      </c>
      <c r="G437" s="1072">
        <v>8100</v>
      </c>
      <c r="H437" s="1075" t="s">
        <v>2273</v>
      </c>
      <c r="I437" s="873">
        <f>K437/100*60</f>
        <v>6000</v>
      </c>
      <c r="J437" s="873">
        <f>K437/100*40</f>
        <v>4000</v>
      </c>
      <c r="K437" s="873">
        <v>10000</v>
      </c>
    </row>
    <row r="438" spans="1:11" s="901" customFormat="1" ht="97.5" customHeight="1">
      <c r="A438" s="1068" t="s">
        <v>1695</v>
      </c>
      <c r="B438" s="1069"/>
      <c r="C438" s="928" t="s">
        <v>1699</v>
      </c>
      <c r="D438" s="928">
        <v>2</v>
      </c>
      <c r="E438" s="945" t="s">
        <v>1701</v>
      </c>
      <c r="F438" s="1045"/>
      <c r="G438" s="1073"/>
      <c r="H438" s="1076"/>
      <c r="I438" s="873">
        <f>K438/100*60</f>
        <v>6600</v>
      </c>
      <c r="J438" s="873">
        <f>K438/100*40</f>
        <v>4400</v>
      </c>
      <c r="K438" s="873">
        <v>11000</v>
      </c>
    </row>
    <row r="439" spans="1:11" s="901" customFormat="1" ht="97.5" customHeight="1">
      <c r="A439" s="1068" t="s">
        <v>1696</v>
      </c>
      <c r="B439" s="1069"/>
      <c r="C439" s="928" t="s">
        <v>1700</v>
      </c>
      <c r="D439" s="928">
        <v>2</v>
      </c>
      <c r="E439" s="945" t="s">
        <v>1702</v>
      </c>
      <c r="F439" s="1045"/>
      <c r="G439" s="1073"/>
      <c r="H439" s="1076"/>
      <c r="I439" s="873">
        <f>K439/100*60</f>
        <v>12000</v>
      </c>
      <c r="J439" s="873">
        <f>K439/100*40</f>
        <v>8000</v>
      </c>
      <c r="K439" s="873">
        <v>20000</v>
      </c>
    </row>
    <row r="440" spans="1:11" s="901" customFormat="1" ht="97.5" customHeight="1">
      <c r="A440" s="1068" t="s">
        <v>1697</v>
      </c>
      <c r="B440" s="1069"/>
      <c r="C440" s="928" t="s">
        <v>1698</v>
      </c>
      <c r="D440" s="928">
        <v>2</v>
      </c>
      <c r="E440" s="945" t="s">
        <v>1703</v>
      </c>
      <c r="F440" s="1046"/>
      <c r="G440" s="1074"/>
      <c r="H440" s="1077"/>
      <c r="I440" s="873">
        <f>K440/100*60</f>
        <v>6190.2</v>
      </c>
      <c r="J440" s="873">
        <f>K440/100*40</f>
        <v>4126.8</v>
      </c>
      <c r="K440" s="873">
        <v>10317</v>
      </c>
    </row>
    <row r="441" spans="1:11" s="901" customFormat="1" ht="97.5" customHeight="1">
      <c r="A441" s="1041" t="s">
        <v>2455</v>
      </c>
      <c r="B441" s="1041"/>
      <c r="C441" s="1042"/>
      <c r="D441" s="1042"/>
      <c r="E441" s="1042"/>
      <c r="F441" s="1042"/>
      <c r="G441" s="1042"/>
      <c r="H441" s="1042"/>
      <c r="I441" s="1042"/>
      <c r="J441" s="903"/>
      <c r="K441" s="903"/>
    </row>
    <row r="442" spans="1:11" s="902" customFormat="1" ht="45.75">
      <c r="A442" s="979" t="s">
        <v>2493</v>
      </c>
      <c r="B442" s="979"/>
      <c r="C442" s="979"/>
      <c r="D442" s="979"/>
      <c r="E442" s="979"/>
      <c r="F442" s="979"/>
      <c r="G442" s="979"/>
      <c r="H442" s="979"/>
      <c r="I442" s="979"/>
      <c r="J442" s="979"/>
      <c r="K442" s="979"/>
    </row>
    <row r="443" spans="1:11" s="902" customFormat="1" ht="45.75">
      <c r="A443" s="979" t="s">
        <v>52</v>
      </c>
      <c r="B443" s="979"/>
      <c r="C443" s="979"/>
      <c r="D443" s="979"/>
      <c r="E443" s="979"/>
      <c r="F443" s="979"/>
      <c r="G443" s="979"/>
      <c r="H443" s="979"/>
      <c r="I443" s="979"/>
      <c r="J443" s="979"/>
      <c r="K443" s="979"/>
    </row>
    <row r="444" spans="1:11" s="902" customFormat="1" ht="45.75">
      <c r="A444" s="1040" t="s">
        <v>50</v>
      </c>
      <c r="B444" s="1040"/>
      <c r="C444" s="1040"/>
      <c r="D444" s="1040"/>
      <c r="E444" s="1040"/>
      <c r="F444" s="1040"/>
      <c r="G444" s="1040"/>
      <c r="H444" s="1040"/>
      <c r="I444" s="1040"/>
      <c r="J444" s="1040"/>
      <c r="K444" s="1040"/>
    </row>
    <row r="445" spans="1:11" s="902" customFormat="1" ht="45.75">
      <c r="A445" s="933"/>
      <c r="B445" s="933"/>
      <c r="C445" s="933"/>
      <c r="D445" s="933"/>
      <c r="E445" s="933"/>
      <c r="F445" s="933"/>
      <c r="G445" s="934"/>
      <c r="H445" s="934"/>
      <c r="I445" s="934"/>
      <c r="J445" s="934"/>
      <c r="K445" s="934"/>
    </row>
    <row r="446" spans="1:11" s="902" customFormat="1" ht="45.75">
      <c r="A446" s="979" t="s">
        <v>1489</v>
      </c>
      <c r="B446" s="979"/>
      <c r="C446" s="979"/>
      <c r="D446" s="979"/>
      <c r="E446" s="979"/>
      <c r="F446" s="979"/>
      <c r="G446" s="979"/>
      <c r="H446" s="979"/>
      <c r="I446" s="979"/>
      <c r="J446" s="979"/>
      <c r="K446" s="979"/>
    </row>
    <row r="447" spans="1:11" s="902" customFormat="1" ht="45.75">
      <c r="A447" s="933"/>
      <c r="B447" s="933"/>
      <c r="C447" s="933"/>
      <c r="D447" s="933"/>
      <c r="E447" s="933"/>
      <c r="F447" s="933"/>
      <c r="G447" s="934"/>
      <c r="H447" s="934"/>
      <c r="I447" s="934"/>
      <c r="J447" s="934"/>
      <c r="K447" s="934"/>
    </row>
    <row r="448" spans="1:11" s="902" customFormat="1" ht="45.75">
      <c r="A448" s="933"/>
      <c r="B448" s="933"/>
      <c r="C448" s="933"/>
      <c r="D448" s="933"/>
      <c r="E448" s="933"/>
      <c r="F448" s="933"/>
      <c r="G448" s="934"/>
      <c r="H448" s="934"/>
      <c r="I448" s="934"/>
      <c r="J448" s="934"/>
      <c r="K448" s="934"/>
    </row>
    <row r="449" spans="1:11" s="902" customFormat="1" ht="45.75">
      <c r="A449" s="979"/>
      <c r="B449" s="979"/>
      <c r="C449" s="979"/>
      <c r="D449" s="979"/>
      <c r="E449" s="979"/>
      <c r="F449" s="979"/>
      <c r="G449" s="979"/>
      <c r="H449" s="979"/>
      <c r="I449" s="979"/>
      <c r="J449" s="979"/>
      <c r="K449" s="979"/>
    </row>
    <row r="450" spans="1:11" s="902" customFormat="1" ht="45.75">
      <c r="A450" s="1067" t="s">
        <v>1381</v>
      </c>
      <c r="B450" s="1067"/>
      <c r="C450" s="1067"/>
      <c r="D450" s="1067"/>
      <c r="E450" s="1067"/>
      <c r="F450" s="1067"/>
      <c r="G450" s="1067"/>
      <c r="H450" s="1067"/>
      <c r="I450" s="1067"/>
      <c r="J450" s="1067"/>
      <c r="K450" s="1067"/>
    </row>
    <row r="451" spans="1:11" s="902" customFormat="1" ht="97.5" customHeight="1">
      <c r="A451" s="1108" t="s">
        <v>37</v>
      </c>
      <c r="B451" s="1108"/>
      <c r="C451" s="1108" t="s">
        <v>178</v>
      </c>
      <c r="D451" s="1108" t="s">
        <v>179</v>
      </c>
      <c r="E451" s="1108" t="s">
        <v>1521</v>
      </c>
      <c r="F451" s="1108" t="s">
        <v>14</v>
      </c>
      <c r="G451" s="1108" t="s">
        <v>1515</v>
      </c>
      <c r="H451" s="1108" t="s">
        <v>16</v>
      </c>
      <c r="I451" s="1108" t="s">
        <v>1490</v>
      </c>
      <c r="J451" s="1108" t="s">
        <v>2506</v>
      </c>
      <c r="K451" s="1108" t="s">
        <v>200</v>
      </c>
    </row>
    <row r="452" spans="1:11" s="900" customFormat="1" ht="97.5" customHeight="1">
      <c r="A452" s="1108"/>
      <c r="B452" s="1108"/>
      <c r="C452" s="1108"/>
      <c r="D452" s="1108"/>
      <c r="E452" s="1108"/>
      <c r="F452" s="1108"/>
      <c r="G452" s="1108"/>
      <c r="H452" s="1108"/>
      <c r="I452" s="1108"/>
      <c r="J452" s="1108"/>
      <c r="K452" s="1108"/>
    </row>
    <row r="453" spans="1:11" s="900" customFormat="1" ht="97.5" customHeight="1">
      <c r="A453" s="1109" t="s">
        <v>1618</v>
      </c>
      <c r="B453" s="1110"/>
      <c r="C453" s="921"/>
      <c r="D453" s="921"/>
      <c r="E453" s="922"/>
      <c r="F453" s="923"/>
      <c r="G453" s="924"/>
      <c r="H453" s="924"/>
      <c r="I453" s="920">
        <f>I454+I460+I462</f>
        <v>217060.8</v>
      </c>
      <c r="J453" s="920">
        <f>J454+J460+J462</f>
        <v>144707.20000000001</v>
      </c>
      <c r="K453" s="920">
        <f>I453+J453</f>
        <v>361768</v>
      </c>
    </row>
    <row r="454" spans="1:11" s="902" customFormat="1" ht="97.5" customHeight="1">
      <c r="A454" s="1070" t="s">
        <v>1541</v>
      </c>
      <c r="B454" s="1071"/>
      <c r="C454" s="925"/>
      <c r="D454" s="925"/>
      <c r="E454" s="925"/>
      <c r="F454" s="931"/>
      <c r="G454" s="925"/>
      <c r="H454" s="926"/>
      <c r="I454" s="871">
        <f>SUM(I455:I459)</f>
        <v>210460.79999999999</v>
      </c>
      <c r="J454" s="871">
        <f>SUM(J455:J459)</f>
        <v>140307.20000000001</v>
      </c>
      <c r="K454" s="871">
        <f>I454+J454</f>
        <v>350768</v>
      </c>
    </row>
    <row r="455" spans="1:11" s="901" customFormat="1" ht="97.5" customHeight="1">
      <c r="A455" s="1068" t="s">
        <v>1629</v>
      </c>
      <c r="B455" s="1069"/>
      <c r="C455" s="928" t="s">
        <v>1619</v>
      </c>
      <c r="D455" s="928">
        <v>40</v>
      </c>
      <c r="E455" s="945" t="s">
        <v>1620</v>
      </c>
      <c r="F455" s="842" t="s">
        <v>2229</v>
      </c>
      <c r="G455" s="1072">
        <v>8100</v>
      </c>
      <c r="H455" s="1075" t="s">
        <v>2273</v>
      </c>
      <c r="I455" s="873">
        <f>K455/100*60</f>
        <v>93133.2</v>
      </c>
      <c r="J455" s="873">
        <f>K455/100*40</f>
        <v>62088.800000000003</v>
      </c>
      <c r="K455" s="873">
        <v>155222</v>
      </c>
    </row>
    <row r="456" spans="1:11" s="901" customFormat="1" ht="97.5" customHeight="1">
      <c r="A456" s="1068" t="s">
        <v>1630</v>
      </c>
      <c r="B456" s="1069"/>
      <c r="C456" s="928" t="s">
        <v>1621</v>
      </c>
      <c r="D456" s="928">
        <v>9</v>
      </c>
      <c r="E456" s="945" t="s">
        <v>1622</v>
      </c>
      <c r="F456" s="841" t="s">
        <v>2236</v>
      </c>
      <c r="G456" s="1073"/>
      <c r="H456" s="1076"/>
      <c r="I456" s="873">
        <f>K456/100*60</f>
        <v>24998.399999999998</v>
      </c>
      <c r="J456" s="873">
        <f>K456/100*40</f>
        <v>16665.599999999999</v>
      </c>
      <c r="K456" s="873">
        <v>41664</v>
      </c>
    </row>
    <row r="457" spans="1:11" s="901" customFormat="1" ht="97.5" customHeight="1">
      <c r="A457" s="1068" t="s">
        <v>1606</v>
      </c>
      <c r="B457" s="1069"/>
      <c r="C457" s="928" t="s">
        <v>1623</v>
      </c>
      <c r="D457" s="928">
        <v>40</v>
      </c>
      <c r="E457" s="945" t="s">
        <v>1624</v>
      </c>
      <c r="F457" s="840" t="s">
        <v>2230</v>
      </c>
      <c r="G457" s="1073"/>
      <c r="H457" s="1076"/>
      <c r="I457" s="873">
        <f>K457/100*60</f>
        <v>36000</v>
      </c>
      <c r="J457" s="873">
        <f>K457/100*40</f>
        <v>24000</v>
      </c>
      <c r="K457" s="873">
        <v>60000</v>
      </c>
    </row>
    <row r="458" spans="1:11" s="901" customFormat="1" ht="97.5" customHeight="1">
      <c r="A458" s="1068" t="s">
        <v>1631</v>
      </c>
      <c r="B458" s="1069"/>
      <c r="C458" s="928" t="s">
        <v>245</v>
      </c>
      <c r="D458" s="928">
        <v>4</v>
      </c>
      <c r="E458" s="945" t="s">
        <v>1625</v>
      </c>
      <c r="F458" s="1044" t="s">
        <v>2231</v>
      </c>
      <c r="G458" s="1073"/>
      <c r="H458" s="1076"/>
      <c r="I458" s="873">
        <f>K458/100*60</f>
        <v>35329.200000000004</v>
      </c>
      <c r="J458" s="873">
        <f>K458/100*40</f>
        <v>23552.800000000003</v>
      </c>
      <c r="K458" s="873">
        <v>58882</v>
      </c>
    </row>
    <row r="459" spans="1:11" s="901" customFormat="1" ht="97.5" customHeight="1">
      <c r="A459" s="1068" t="s">
        <v>1632</v>
      </c>
      <c r="B459" s="1069"/>
      <c r="C459" s="928" t="s">
        <v>216</v>
      </c>
      <c r="D459" s="928">
        <v>100</v>
      </c>
      <c r="E459" s="945" t="s">
        <v>1625</v>
      </c>
      <c r="F459" s="1046"/>
      <c r="G459" s="1074"/>
      <c r="H459" s="1077"/>
      <c r="I459" s="873">
        <f>K459/100*60</f>
        <v>21000</v>
      </c>
      <c r="J459" s="873">
        <f>K459/100*40</f>
        <v>14000</v>
      </c>
      <c r="K459" s="873">
        <v>35000</v>
      </c>
    </row>
    <row r="460" spans="1:11" s="902" customFormat="1" ht="97.5" customHeight="1">
      <c r="A460" s="1070" t="s">
        <v>278</v>
      </c>
      <c r="B460" s="1071"/>
      <c r="C460" s="925"/>
      <c r="D460" s="925"/>
      <c r="E460" s="925"/>
      <c r="F460" s="931"/>
      <c r="G460" s="925"/>
      <c r="H460" s="926"/>
      <c r="I460" s="871">
        <f>SUM(I461)</f>
        <v>3600</v>
      </c>
      <c r="J460" s="871">
        <f>SUM(J461)</f>
        <v>2400</v>
      </c>
      <c r="K460" s="871">
        <f>I460+J460</f>
        <v>6000</v>
      </c>
    </row>
    <row r="461" spans="1:11" s="901" customFormat="1" ht="97.5" customHeight="1">
      <c r="A461" s="1068" t="s">
        <v>1627</v>
      </c>
      <c r="B461" s="1069"/>
      <c r="C461" s="928" t="s">
        <v>1215</v>
      </c>
      <c r="D461" s="928">
        <v>10</v>
      </c>
      <c r="E461" s="945" t="s">
        <v>1626</v>
      </c>
      <c r="F461" s="842" t="s">
        <v>2234</v>
      </c>
      <c r="G461" s="929">
        <v>8100</v>
      </c>
      <c r="H461" s="932" t="s">
        <v>2445</v>
      </c>
      <c r="I461" s="873">
        <f>K461/100*60</f>
        <v>3600</v>
      </c>
      <c r="J461" s="873">
        <f>K461/100*40</f>
        <v>2400</v>
      </c>
      <c r="K461" s="873">
        <v>6000</v>
      </c>
    </row>
    <row r="462" spans="1:11" s="902" customFormat="1" ht="97.5" customHeight="1">
      <c r="A462" s="1070" t="s">
        <v>312</v>
      </c>
      <c r="B462" s="1071"/>
      <c r="C462" s="925"/>
      <c r="D462" s="925"/>
      <c r="E462" s="925"/>
      <c r="F462" s="931"/>
      <c r="G462" s="925"/>
      <c r="H462" s="926"/>
      <c r="I462" s="871">
        <f>SUM(I463:I463)</f>
        <v>3000</v>
      </c>
      <c r="J462" s="871">
        <f>SUM(J463:J463)</f>
        <v>2000</v>
      </c>
      <c r="K462" s="871">
        <f>SUM(K463:K463)</f>
        <v>5000</v>
      </c>
    </row>
    <row r="463" spans="1:11" s="901" customFormat="1" ht="97.5" customHeight="1">
      <c r="A463" s="1068" t="s">
        <v>1555</v>
      </c>
      <c r="B463" s="1069"/>
      <c r="C463" s="928" t="s">
        <v>1623</v>
      </c>
      <c r="D463" s="928">
        <v>20</v>
      </c>
      <c r="E463" s="945" t="s">
        <v>1628</v>
      </c>
      <c r="F463" s="842" t="s">
        <v>2224</v>
      </c>
      <c r="G463" s="956">
        <v>8100</v>
      </c>
      <c r="H463" s="930" t="s">
        <v>2273</v>
      </c>
      <c r="I463" s="873">
        <f>K463/100*60</f>
        <v>3000</v>
      </c>
      <c r="J463" s="873">
        <f>K463/100*40</f>
        <v>2000</v>
      </c>
      <c r="K463" s="873">
        <v>5000</v>
      </c>
    </row>
    <row r="464" spans="1:11" s="951" customFormat="1" ht="97.5" customHeight="1">
      <c r="A464" s="1125"/>
      <c r="B464" s="1126"/>
      <c r="C464" s="947"/>
      <c r="D464" s="947"/>
      <c r="E464" s="948"/>
      <c r="F464" s="949"/>
      <c r="G464" s="950"/>
      <c r="H464" s="950"/>
      <c r="I464" s="742"/>
      <c r="J464" s="742"/>
      <c r="K464" s="742"/>
    </row>
    <row r="465" spans="1:11" s="902" customFormat="1" ht="97.5" customHeight="1">
      <c r="A465" s="1111" t="s">
        <v>37</v>
      </c>
      <c r="B465" s="1112"/>
      <c r="C465" s="983" t="s">
        <v>178</v>
      </c>
      <c r="D465" s="983" t="s">
        <v>179</v>
      </c>
      <c r="E465" s="983" t="s">
        <v>1521</v>
      </c>
      <c r="F465" s="983" t="s">
        <v>14</v>
      </c>
      <c r="G465" s="983" t="s">
        <v>1515</v>
      </c>
      <c r="H465" s="983" t="s">
        <v>16</v>
      </c>
      <c r="I465" s="1108" t="s">
        <v>1490</v>
      </c>
      <c r="J465" s="1108" t="s">
        <v>2506</v>
      </c>
      <c r="K465" s="983" t="s">
        <v>200</v>
      </c>
    </row>
    <row r="466" spans="1:11" s="900" customFormat="1" ht="97.5" customHeight="1">
      <c r="A466" s="1113"/>
      <c r="B466" s="1114"/>
      <c r="C466" s="984"/>
      <c r="D466" s="984"/>
      <c r="E466" s="984"/>
      <c r="F466" s="984"/>
      <c r="G466" s="984"/>
      <c r="H466" s="984"/>
      <c r="I466" s="1108"/>
      <c r="J466" s="1108"/>
      <c r="K466" s="984"/>
    </row>
    <row r="467" spans="1:11" s="900" customFormat="1" ht="97.5" customHeight="1">
      <c r="A467" s="1109" t="s">
        <v>1530</v>
      </c>
      <c r="B467" s="1110"/>
      <c r="C467" s="921"/>
      <c r="D467" s="921"/>
      <c r="E467" s="922"/>
      <c r="F467" s="923"/>
      <c r="G467" s="924"/>
      <c r="H467" s="924"/>
      <c r="I467" s="920">
        <f>I468+I470</f>
        <v>567863.4</v>
      </c>
      <c r="J467" s="920">
        <f>J468+J470</f>
        <v>378575.6</v>
      </c>
      <c r="K467" s="920">
        <f>I467+J467</f>
        <v>946439</v>
      </c>
    </row>
    <row r="468" spans="1:11" s="927" customFormat="1" ht="97.5" customHeight="1">
      <c r="A468" s="1070" t="s">
        <v>2251</v>
      </c>
      <c r="B468" s="1071"/>
      <c r="C468" s="925"/>
      <c r="D468" s="925"/>
      <c r="E468" s="925"/>
      <c r="F468" s="931"/>
      <c r="G468" s="925"/>
      <c r="H468" s="926"/>
      <c r="I468" s="871">
        <f>I469</f>
        <v>72000</v>
      </c>
      <c r="J468" s="871">
        <f>J469</f>
        <v>48000</v>
      </c>
      <c r="K468" s="871">
        <f>I468+J468</f>
        <v>120000</v>
      </c>
    </row>
    <row r="469" spans="1:11" s="901" customFormat="1" ht="97.5" customHeight="1">
      <c r="A469" s="1068" t="s">
        <v>1528</v>
      </c>
      <c r="B469" s="1069"/>
      <c r="C469" s="928" t="s">
        <v>147</v>
      </c>
      <c r="D469" s="928">
        <v>160</v>
      </c>
      <c r="E469" s="945" t="s">
        <v>1516</v>
      </c>
      <c r="F469" s="842" t="s">
        <v>2257</v>
      </c>
      <c r="G469" s="929">
        <v>8100</v>
      </c>
      <c r="H469" s="932" t="s">
        <v>2273</v>
      </c>
      <c r="I469" s="873">
        <f>K469/100*60</f>
        <v>72000</v>
      </c>
      <c r="J469" s="873">
        <f>K469/100*40</f>
        <v>48000</v>
      </c>
      <c r="K469" s="873">
        <v>120000</v>
      </c>
    </row>
    <row r="470" spans="1:11" s="902" customFormat="1" ht="97.5" customHeight="1">
      <c r="A470" s="1070" t="s">
        <v>1541</v>
      </c>
      <c r="B470" s="1071"/>
      <c r="C470" s="925"/>
      <c r="D470" s="925"/>
      <c r="E470" s="925"/>
      <c r="F470" s="931"/>
      <c r="G470" s="925"/>
      <c r="H470" s="926"/>
      <c r="I470" s="871">
        <f>SUM(I471:I474)</f>
        <v>495863.4</v>
      </c>
      <c r="J470" s="871">
        <f>SUM(J471:J474)</f>
        <v>330575.59999999998</v>
      </c>
      <c r="K470" s="871">
        <f>I470+J470</f>
        <v>826439</v>
      </c>
    </row>
    <row r="471" spans="1:11" s="901" customFormat="1" ht="123.75" customHeight="1">
      <c r="A471" s="1068" t="s">
        <v>1529</v>
      </c>
      <c r="B471" s="1069"/>
      <c r="C471" s="928" t="s">
        <v>1534</v>
      </c>
      <c r="D471" s="928">
        <v>120</v>
      </c>
      <c r="E471" s="945" t="s">
        <v>1536</v>
      </c>
      <c r="F471" s="840" t="s">
        <v>2230</v>
      </c>
      <c r="G471" s="1072">
        <v>8100</v>
      </c>
      <c r="H471" s="1075" t="s">
        <v>2273</v>
      </c>
      <c r="I471" s="873">
        <f>K471/100*60</f>
        <v>180000</v>
      </c>
      <c r="J471" s="873">
        <f>K471/100*40</f>
        <v>120000</v>
      </c>
      <c r="K471" s="873">
        <v>300000</v>
      </c>
    </row>
    <row r="472" spans="1:11" s="901" customFormat="1" ht="123.75" customHeight="1">
      <c r="A472" s="1068" t="s">
        <v>1532</v>
      </c>
      <c r="B472" s="1069"/>
      <c r="C472" s="928" t="s">
        <v>1533</v>
      </c>
      <c r="D472" s="928">
        <v>200</v>
      </c>
      <c r="E472" s="945" t="s">
        <v>1535</v>
      </c>
      <c r="F472" s="1044" t="s">
        <v>2231</v>
      </c>
      <c r="G472" s="1073"/>
      <c r="H472" s="1076"/>
      <c r="I472" s="873">
        <f>K472/100*60</f>
        <v>267335.40000000002</v>
      </c>
      <c r="J472" s="873">
        <f>K472/100*40</f>
        <v>178223.6</v>
      </c>
      <c r="K472" s="873">
        <v>445559</v>
      </c>
    </row>
    <row r="473" spans="1:11" s="901" customFormat="1" ht="123.75" customHeight="1">
      <c r="A473" s="1068" t="s">
        <v>1531</v>
      </c>
      <c r="B473" s="1069"/>
      <c r="C473" s="928" t="s">
        <v>1533</v>
      </c>
      <c r="D473" s="928">
        <v>328</v>
      </c>
      <c r="E473" s="945" t="s">
        <v>1537</v>
      </c>
      <c r="F473" s="1045"/>
      <c r="G473" s="1073"/>
      <c r="H473" s="1076"/>
      <c r="I473" s="873">
        <f>K473/100*60</f>
        <v>30000</v>
      </c>
      <c r="J473" s="873">
        <f>K473/100*40</f>
        <v>20000</v>
      </c>
      <c r="K473" s="873">
        <v>50000</v>
      </c>
    </row>
    <row r="474" spans="1:11" s="901" customFormat="1" ht="123.75" customHeight="1">
      <c r="A474" s="1068" t="s">
        <v>1538</v>
      </c>
      <c r="B474" s="1069"/>
      <c r="C474" s="928" t="s">
        <v>1539</v>
      </c>
      <c r="D474" s="928">
        <v>38</v>
      </c>
      <c r="E474" s="945" t="s">
        <v>1540</v>
      </c>
      <c r="F474" s="1046"/>
      <c r="G474" s="1074"/>
      <c r="H474" s="1077"/>
      <c r="I474" s="873">
        <f>K474/100*60</f>
        <v>18528</v>
      </c>
      <c r="J474" s="873">
        <f>K474/100*40</f>
        <v>12352</v>
      </c>
      <c r="K474" s="873">
        <v>30880</v>
      </c>
    </row>
    <row r="475" spans="1:11" s="901" customFormat="1" ht="97.5" customHeight="1">
      <c r="A475" s="1041" t="s">
        <v>2455</v>
      </c>
      <c r="B475" s="1041"/>
      <c r="C475" s="1042"/>
      <c r="D475" s="1042"/>
      <c r="E475" s="1042"/>
      <c r="F475" s="1042"/>
      <c r="G475" s="1042"/>
      <c r="H475" s="1042"/>
      <c r="I475" s="1042"/>
      <c r="J475" s="903"/>
      <c r="K475" s="903"/>
    </row>
    <row r="476" spans="1:11" s="902" customFormat="1" ht="45.75">
      <c r="A476" s="979" t="s">
        <v>2493</v>
      </c>
      <c r="B476" s="979"/>
      <c r="C476" s="979"/>
      <c r="D476" s="979"/>
      <c r="E476" s="979"/>
      <c r="F476" s="979"/>
      <c r="G476" s="979"/>
      <c r="H476" s="979"/>
      <c r="I476" s="979"/>
      <c r="J476" s="979"/>
      <c r="K476" s="979"/>
    </row>
    <row r="477" spans="1:11" s="902" customFormat="1" ht="45.75">
      <c r="A477" s="979" t="s">
        <v>52</v>
      </c>
      <c r="B477" s="979"/>
      <c r="C477" s="979"/>
      <c r="D477" s="979"/>
      <c r="E477" s="979"/>
      <c r="F477" s="979"/>
      <c r="G477" s="979"/>
      <c r="H477" s="979"/>
      <c r="I477" s="979"/>
      <c r="J477" s="979"/>
      <c r="K477" s="979"/>
    </row>
    <row r="478" spans="1:11" s="902" customFormat="1" ht="45.75">
      <c r="A478" s="1040" t="s">
        <v>50</v>
      </c>
      <c r="B478" s="1040"/>
      <c r="C478" s="1040"/>
      <c r="D478" s="1040"/>
      <c r="E478" s="1040"/>
      <c r="F478" s="1040"/>
      <c r="G478" s="1040"/>
      <c r="H478" s="1040"/>
      <c r="I478" s="1040"/>
      <c r="J478" s="1040"/>
      <c r="K478" s="1040"/>
    </row>
    <row r="479" spans="1:11" s="902" customFormat="1" ht="45.75">
      <c r="A479" s="933"/>
      <c r="B479" s="933"/>
      <c r="C479" s="933"/>
      <c r="D479" s="933"/>
      <c r="E479" s="933"/>
      <c r="F479" s="933"/>
      <c r="G479" s="934"/>
      <c r="H479" s="934"/>
      <c r="I479" s="934"/>
      <c r="J479" s="934"/>
      <c r="K479" s="934"/>
    </row>
    <row r="480" spans="1:11" s="902" customFormat="1" ht="45.75">
      <c r="A480" s="979" t="s">
        <v>1489</v>
      </c>
      <c r="B480" s="979"/>
      <c r="C480" s="979"/>
      <c r="D480" s="979"/>
      <c r="E480" s="979"/>
      <c r="F480" s="979"/>
      <c r="G480" s="979"/>
      <c r="H480" s="979"/>
      <c r="I480" s="979"/>
      <c r="J480" s="979"/>
      <c r="K480" s="979"/>
    </row>
    <row r="481" spans="1:11" s="902" customFormat="1" ht="45.75">
      <c r="A481" s="933"/>
      <c r="B481" s="933"/>
      <c r="C481" s="933"/>
      <c r="D481" s="933"/>
      <c r="E481" s="933"/>
      <c r="F481" s="933"/>
      <c r="G481" s="934"/>
      <c r="H481" s="934"/>
      <c r="I481" s="934"/>
      <c r="J481" s="934"/>
      <c r="K481" s="934"/>
    </row>
    <row r="482" spans="1:11" s="902" customFormat="1" ht="45.75">
      <c r="A482" s="933"/>
      <c r="B482" s="933"/>
      <c r="C482" s="933"/>
      <c r="D482" s="933"/>
      <c r="E482" s="933"/>
      <c r="F482" s="933"/>
      <c r="G482" s="934"/>
      <c r="H482" s="934"/>
      <c r="I482" s="934"/>
      <c r="J482" s="934"/>
      <c r="K482" s="934"/>
    </row>
    <row r="483" spans="1:11" s="902" customFormat="1" ht="45.75">
      <c r="A483" s="979"/>
      <c r="B483" s="979"/>
      <c r="C483" s="979"/>
      <c r="D483" s="979"/>
      <c r="E483" s="979"/>
      <c r="F483" s="979"/>
      <c r="G483" s="979"/>
      <c r="H483" s="979"/>
      <c r="I483" s="979"/>
      <c r="J483" s="979"/>
      <c r="K483" s="979"/>
    </row>
    <row r="484" spans="1:11" s="902" customFormat="1" ht="45.75">
      <c r="A484" s="1067" t="s">
        <v>1381</v>
      </c>
      <c r="B484" s="1067"/>
      <c r="C484" s="1067"/>
      <c r="D484" s="1067"/>
      <c r="E484" s="1067"/>
      <c r="F484" s="1067"/>
      <c r="G484" s="1067"/>
      <c r="H484" s="1067"/>
      <c r="I484" s="1067"/>
      <c r="J484" s="1067"/>
      <c r="K484" s="1067"/>
    </row>
    <row r="485" spans="1:11" s="902" customFormat="1" ht="97.5" customHeight="1">
      <c r="A485" s="1111" t="s">
        <v>37</v>
      </c>
      <c r="B485" s="1112"/>
      <c r="C485" s="983" t="s">
        <v>178</v>
      </c>
      <c r="D485" s="983" t="s">
        <v>179</v>
      </c>
      <c r="E485" s="983" t="s">
        <v>1521</v>
      </c>
      <c r="F485" s="983" t="s">
        <v>14</v>
      </c>
      <c r="G485" s="983" t="s">
        <v>1515</v>
      </c>
      <c r="H485" s="983" t="s">
        <v>16</v>
      </c>
      <c r="I485" s="1108" t="s">
        <v>1490</v>
      </c>
      <c r="J485" s="1108" t="s">
        <v>2506</v>
      </c>
      <c r="K485" s="983" t="s">
        <v>200</v>
      </c>
    </row>
    <row r="486" spans="1:11" s="900" customFormat="1" ht="97.5" customHeight="1">
      <c r="A486" s="1113"/>
      <c r="B486" s="1114"/>
      <c r="C486" s="984"/>
      <c r="D486" s="984"/>
      <c r="E486" s="984"/>
      <c r="F486" s="984"/>
      <c r="G486" s="984"/>
      <c r="H486" s="984"/>
      <c r="I486" s="1108"/>
      <c r="J486" s="1108"/>
      <c r="K486" s="984"/>
    </row>
    <row r="487" spans="1:11" s="900" customFormat="1" ht="97.5" customHeight="1">
      <c r="A487" s="1109" t="s">
        <v>1571</v>
      </c>
      <c r="B487" s="1110"/>
      <c r="C487" s="921"/>
      <c r="D487" s="921"/>
      <c r="E487" s="922"/>
      <c r="F487" s="923"/>
      <c r="G487" s="924"/>
      <c r="H487" s="924"/>
      <c r="I487" s="920">
        <f>I488+I490+I501+I503</f>
        <v>312034.8</v>
      </c>
      <c r="J487" s="920">
        <f>J488+J490+J501+J503</f>
        <v>208023.19999999998</v>
      </c>
      <c r="K487" s="920">
        <f>I487+J487</f>
        <v>520058</v>
      </c>
    </row>
    <row r="488" spans="1:11" s="927" customFormat="1" ht="97.5" customHeight="1">
      <c r="A488" s="1070" t="s">
        <v>2251</v>
      </c>
      <c r="B488" s="1115"/>
      <c r="C488" s="1115"/>
      <c r="D488" s="1115"/>
      <c r="E488" s="1115"/>
      <c r="F488" s="1071"/>
      <c r="G488" s="925"/>
      <c r="H488" s="926"/>
      <c r="I488" s="871">
        <f>I489</f>
        <v>41682</v>
      </c>
      <c r="J488" s="871">
        <f>J489</f>
        <v>27788</v>
      </c>
      <c r="K488" s="871">
        <f>I488+J488</f>
        <v>69470</v>
      </c>
    </row>
    <row r="489" spans="1:11" s="901" customFormat="1" ht="97.5" customHeight="1">
      <c r="A489" s="1068" t="s">
        <v>1572</v>
      </c>
      <c r="B489" s="1069"/>
      <c r="C489" s="928" t="s">
        <v>147</v>
      </c>
      <c r="D489" s="928">
        <v>324</v>
      </c>
      <c r="E489" s="945" t="s">
        <v>1573</v>
      </c>
      <c r="F489" s="842" t="s">
        <v>2258</v>
      </c>
      <c r="G489" s="929">
        <v>8100</v>
      </c>
      <c r="H489" s="932" t="s">
        <v>2273</v>
      </c>
      <c r="I489" s="873">
        <f>K489/100*60</f>
        <v>41682</v>
      </c>
      <c r="J489" s="873">
        <f>K489/100*40</f>
        <v>27788</v>
      </c>
      <c r="K489" s="873">
        <v>69470</v>
      </c>
    </row>
    <row r="490" spans="1:11" s="902" customFormat="1" ht="97.5" customHeight="1">
      <c r="A490" s="1070" t="s">
        <v>1541</v>
      </c>
      <c r="B490" s="1071"/>
      <c r="C490" s="925"/>
      <c r="D490" s="925"/>
      <c r="E490" s="925"/>
      <c r="F490" s="931"/>
      <c r="G490" s="925"/>
      <c r="H490" s="926"/>
      <c r="I490" s="871">
        <f>SUM(I491:I500)</f>
        <v>238125.59999999998</v>
      </c>
      <c r="J490" s="871">
        <f>SUM(J491:J500)</f>
        <v>158750.39999999999</v>
      </c>
      <c r="K490" s="871">
        <f>I490+J490</f>
        <v>396876</v>
      </c>
    </row>
    <row r="491" spans="1:11" s="901" customFormat="1" ht="127.5" customHeight="1">
      <c r="A491" s="1068" t="s">
        <v>1574</v>
      </c>
      <c r="B491" s="1069"/>
      <c r="C491" s="928" t="s">
        <v>1550</v>
      </c>
      <c r="D491" s="928">
        <v>20</v>
      </c>
      <c r="E491" s="945" t="s">
        <v>1573</v>
      </c>
      <c r="F491" s="840" t="s">
        <v>2229</v>
      </c>
      <c r="G491" s="1072">
        <v>8100</v>
      </c>
      <c r="H491" s="1075" t="s">
        <v>2273</v>
      </c>
      <c r="I491" s="873">
        <f t="shared" ref="I491:I500" si="15">K491/100*60</f>
        <v>30600</v>
      </c>
      <c r="J491" s="873">
        <f t="shared" ref="J491:J500" si="16">K491/100*40</f>
        <v>20400</v>
      </c>
      <c r="K491" s="873">
        <v>51000</v>
      </c>
    </row>
    <row r="492" spans="1:11" s="901" customFormat="1" ht="127.5" customHeight="1">
      <c r="A492" s="1068" t="s">
        <v>1575</v>
      </c>
      <c r="B492" s="1069"/>
      <c r="C492" s="928" t="s">
        <v>1551</v>
      </c>
      <c r="D492" s="928">
        <v>60</v>
      </c>
      <c r="E492" s="945" t="s">
        <v>1581</v>
      </c>
      <c r="F492" s="840" t="s">
        <v>2230</v>
      </c>
      <c r="G492" s="1073"/>
      <c r="H492" s="1076"/>
      <c r="I492" s="873">
        <f t="shared" si="15"/>
        <v>60000</v>
      </c>
      <c r="J492" s="873">
        <f t="shared" si="16"/>
        <v>40000</v>
      </c>
      <c r="K492" s="873">
        <v>100000</v>
      </c>
    </row>
    <row r="493" spans="1:11" s="901" customFormat="1" ht="127.5" customHeight="1">
      <c r="A493" s="1068" t="s">
        <v>1576</v>
      </c>
      <c r="B493" s="1069"/>
      <c r="C493" s="928" t="s">
        <v>1584</v>
      </c>
      <c r="D493" s="946">
        <v>2000</v>
      </c>
      <c r="E493" s="945" t="s">
        <v>1582</v>
      </c>
      <c r="F493" s="1044" t="s">
        <v>2231</v>
      </c>
      <c r="G493" s="1073"/>
      <c r="H493" s="1076"/>
      <c r="I493" s="873">
        <f t="shared" si="15"/>
        <v>77226.599999999991</v>
      </c>
      <c r="J493" s="873">
        <f t="shared" si="16"/>
        <v>51484.399999999994</v>
      </c>
      <c r="K493" s="873">
        <v>128711</v>
      </c>
    </row>
    <row r="494" spans="1:11" s="901" customFormat="1" ht="127.5" customHeight="1">
      <c r="A494" s="1068" t="s">
        <v>1577</v>
      </c>
      <c r="B494" s="1069"/>
      <c r="C494" s="928" t="s">
        <v>1584</v>
      </c>
      <c r="D494" s="928">
        <v>500</v>
      </c>
      <c r="E494" s="945" t="s">
        <v>1582</v>
      </c>
      <c r="F494" s="1045"/>
      <c r="G494" s="1073"/>
      <c r="H494" s="1076"/>
      <c r="I494" s="873">
        <f t="shared" si="15"/>
        <v>7200</v>
      </c>
      <c r="J494" s="873">
        <f t="shared" si="16"/>
        <v>4800</v>
      </c>
      <c r="K494" s="873">
        <v>12000</v>
      </c>
    </row>
    <row r="495" spans="1:11" s="901" customFormat="1" ht="127.5" customHeight="1">
      <c r="A495" s="1068" t="s">
        <v>1578</v>
      </c>
      <c r="B495" s="1069"/>
      <c r="C495" s="928" t="s">
        <v>1551</v>
      </c>
      <c r="D495" s="928">
        <v>45</v>
      </c>
      <c r="E495" s="945" t="s">
        <v>1582</v>
      </c>
      <c r="F495" s="1045"/>
      <c r="G495" s="1073"/>
      <c r="H495" s="1076"/>
      <c r="I495" s="873">
        <f t="shared" si="15"/>
        <v>24000</v>
      </c>
      <c r="J495" s="873">
        <f t="shared" si="16"/>
        <v>16000</v>
      </c>
      <c r="K495" s="873">
        <v>40000</v>
      </c>
    </row>
    <row r="496" spans="1:11" s="901" customFormat="1" ht="127.5" customHeight="1">
      <c r="A496" s="1068" t="s">
        <v>1579</v>
      </c>
      <c r="B496" s="1069"/>
      <c r="C496" s="928" t="s">
        <v>1551</v>
      </c>
      <c r="D496" s="928">
        <v>25</v>
      </c>
      <c r="E496" s="945" t="s">
        <v>1582</v>
      </c>
      <c r="F496" s="1045"/>
      <c r="G496" s="1073"/>
      <c r="H496" s="1076"/>
      <c r="I496" s="873">
        <f t="shared" si="15"/>
        <v>5400</v>
      </c>
      <c r="J496" s="873">
        <f t="shared" si="16"/>
        <v>3600</v>
      </c>
      <c r="K496" s="873">
        <v>9000</v>
      </c>
    </row>
    <row r="497" spans="1:11" s="901" customFormat="1" ht="127.5" customHeight="1">
      <c r="A497" s="1068" t="s">
        <v>1580</v>
      </c>
      <c r="B497" s="1069"/>
      <c r="C497" s="928" t="s">
        <v>1585</v>
      </c>
      <c r="D497" s="928">
        <v>16</v>
      </c>
      <c r="E497" s="945" t="s">
        <v>1583</v>
      </c>
      <c r="F497" s="1045"/>
      <c r="G497" s="1073"/>
      <c r="H497" s="1076"/>
      <c r="I497" s="873">
        <f t="shared" si="15"/>
        <v>4800</v>
      </c>
      <c r="J497" s="873">
        <f t="shared" si="16"/>
        <v>3200</v>
      </c>
      <c r="K497" s="873">
        <v>8000</v>
      </c>
    </row>
    <row r="498" spans="1:11" s="901" customFormat="1" ht="127.5" customHeight="1">
      <c r="A498" s="1068" t="s">
        <v>1587</v>
      </c>
      <c r="B498" s="1069"/>
      <c r="C498" s="928" t="s">
        <v>1591</v>
      </c>
      <c r="D498" s="957">
        <v>0.5</v>
      </c>
      <c r="E498" s="945" t="s">
        <v>1582</v>
      </c>
      <c r="F498" s="1045"/>
      <c r="G498" s="1073"/>
      <c r="H498" s="1076"/>
      <c r="I498" s="873">
        <f t="shared" si="15"/>
        <v>9000</v>
      </c>
      <c r="J498" s="873">
        <f t="shared" si="16"/>
        <v>6000</v>
      </c>
      <c r="K498" s="873">
        <v>15000</v>
      </c>
    </row>
    <row r="499" spans="1:11" s="901" customFormat="1" ht="127.5" customHeight="1">
      <c r="A499" s="1068" t="s">
        <v>1588</v>
      </c>
      <c r="B499" s="1069"/>
      <c r="C499" s="928" t="s">
        <v>1593</v>
      </c>
      <c r="D499" s="928">
        <v>1</v>
      </c>
      <c r="E499" s="945" t="s">
        <v>1592</v>
      </c>
      <c r="F499" s="1045"/>
      <c r="G499" s="1073"/>
      <c r="H499" s="1076"/>
      <c r="I499" s="873">
        <f t="shared" si="15"/>
        <v>5400</v>
      </c>
      <c r="J499" s="873">
        <f t="shared" si="16"/>
        <v>3600</v>
      </c>
      <c r="K499" s="873">
        <v>9000</v>
      </c>
    </row>
    <row r="500" spans="1:11" s="901" customFormat="1" ht="127.5" customHeight="1">
      <c r="A500" s="1068" t="s">
        <v>1590</v>
      </c>
      <c r="B500" s="1069"/>
      <c r="C500" s="928" t="s">
        <v>1584</v>
      </c>
      <c r="D500" s="946">
        <v>1000</v>
      </c>
      <c r="E500" s="945" t="s">
        <v>1582</v>
      </c>
      <c r="F500" s="1046"/>
      <c r="G500" s="1074"/>
      <c r="H500" s="1077"/>
      <c r="I500" s="873">
        <f t="shared" si="15"/>
        <v>14499</v>
      </c>
      <c r="J500" s="873">
        <f t="shared" si="16"/>
        <v>9666</v>
      </c>
      <c r="K500" s="873">
        <v>24165</v>
      </c>
    </row>
    <row r="501" spans="1:11" s="902" customFormat="1" ht="97.5" customHeight="1">
      <c r="A501" s="1070" t="s">
        <v>278</v>
      </c>
      <c r="B501" s="1071"/>
      <c r="C501" s="925"/>
      <c r="D501" s="925"/>
      <c r="E501" s="925"/>
      <c r="F501" s="931"/>
      <c r="G501" s="925"/>
      <c r="H501" s="926"/>
      <c r="I501" s="871">
        <f>SUM(I502)</f>
        <v>9600</v>
      </c>
      <c r="J501" s="871">
        <f>SUM(J502)</f>
        <v>6400</v>
      </c>
      <c r="K501" s="871">
        <f>I501+J501</f>
        <v>16000</v>
      </c>
    </row>
    <row r="502" spans="1:11" s="901" customFormat="1" ht="127.5" customHeight="1">
      <c r="A502" s="1068" t="s">
        <v>1586</v>
      </c>
      <c r="B502" s="1069"/>
      <c r="C502" s="928" t="s">
        <v>18</v>
      </c>
      <c r="D502" s="928">
        <v>15</v>
      </c>
      <c r="E502" s="945" t="s">
        <v>1596</v>
      </c>
      <c r="F502" s="842" t="s">
        <v>2234</v>
      </c>
      <c r="G502" s="929">
        <v>8100</v>
      </c>
      <c r="H502" s="932" t="s">
        <v>2445</v>
      </c>
      <c r="I502" s="873">
        <f>K502/100*60</f>
        <v>9600</v>
      </c>
      <c r="J502" s="873">
        <f>K502/100*40</f>
        <v>6400</v>
      </c>
      <c r="K502" s="873">
        <v>16000</v>
      </c>
    </row>
    <row r="503" spans="1:11" s="902" customFormat="1" ht="97.5" customHeight="1">
      <c r="A503" s="1070" t="s">
        <v>312</v>
      </c>
      <c r="B503" s="1071"/>
      <c r="C503" s="925"/>
      <c r="D503" s="925"/>
      <c r="E503" s="925"/>
      <c r="F503" s="931"/>
      <c r="G503" s="925"/>
      <c r="H503" s="926"/>
      <c r="I503" s="871">
        <f>SUM(I504:I507)</f>
        <v>22627.200000000001</v>
      </c>
      <c r="J503" s="871">
        <f>SUM(J504:J507)</f>
        <v>15084.8</v>
      </c>
      <c r="K503" s="871">
        <f>I503+J503</f>
        <v>37712</v>
      </c>
    </row>
    <row r="504" spans="1:11" s="901" customFormat="1" ht="127.5" customHeight="1">
      <c r="A504" s="1068" t="s">
        <v>1589</v>
      </c>
      <c r="B504" s="1069"/>
      <c r="C504" s="928" t="s">
        <v>1594</v>
      </c>
      <c r="D504" s="928">
        <v>1</v>
      </c>
      <c r="E504" s="945" t="s">
        <v>1583</v>
      </c>
      <c r="F504" s="1044" t="s">
        <v>2224</v>
      </c>
      <c r="G504" s="1072">
        <v>8100</v>
      </c>
      <c r="H504" s="1075" t="s">
        <v>2273</v>
      </c>
      <c r="I504" s="873">
        <f>K504/100*60</f>
        <v>4200</v>
      </c>
      <c r="J504" s="873">
        <f>K504/100*40</f>
        <v>2800</v>
      </c>
      <c r="K504" s="873">
        <v>7000</v>
      </c>
    </row>
    <row r="505" spans="1:11" s="901" customFormat="1" ht="127.5" customHeight="1">
      <c r="A505" s="1068" t="s">
        <v>1597</v>
      </c>
      <c r="B505" s="1069"/>
      <c r="C505" s="928" t="s">
        <v>1600</v>
      </c>
      <c r="D505" s="928">
        <v>18</v>
      </c>
      <c r="E505" s="945" t="s">
        <v>1582</v>
      </c>
      <c r="F505" s="1045"/>
      <c r="G505" s="1073"/>
      <c r="H505" s="1076"/>
      <c r="I505" s="873">
        <f>K505/100*60</f>
        <v>4800</v>
      </c>
      <c r="J505" s="873">
        <f>K505/100*40</f>
        <v>3200</v>
      </c>
      <c r="K505" s="873">
        <v>8000</v>
      </c>
    </row>
    <row r="506" spans="1:11" s="901" customFormat="1" ht="127.5" customHeight="1">
      <c r="A506" s="1068" t="s">
        <v>1598</v>
      </c>
      <c r="B506" s="1069"/>
      <c r="C506" s="928" t="s">
        <v>1601</v>
      </c>
      <c r="D506" s="928">
        <v>5</v>
      </c>
      <c r="E506" s="945" t="s">
        <v>1582</v>
      </c>
      <c r="F506" s="1045"/>
      <c r="G506" s="1073"/>
      <c r="H506" s="1076"/>
      <c r="I506" s="873">
        <f>K506/100*60</f>
        <v>8400</v>
      </c>
      <c r="J506" s="873">
        <f>K506/100*40</f>
        <v>5600</v>
      </c>
      <c r="K506" s="873">
        <v>14000</v>
      </c>
    </row>
    <row r="507" spans="1:11" s="901" customFormat="1" ht="127.5" customHeight="1">
      <c r="A507" s="1068" t="s">
        <v>1599</v>
      </c>
      <c r="B507" s="1069"/>
      <c r="C507" s="928" t="s">
        <v>1601</v>
      </c>
      <c r="D507" s="928">
        <v>3</v>
      </c>
      <c r="E507" s="945" t="s">
        <v>1583</v>
      </c>
      <c r="F507" s="1046"/>
      <c r="G507" s="1074"/>
      <c r="H507" s="1077"/>
      <c r="I507" s="873">
        <f>K507/100*60</f>
        <v>5227.2000000000007</v>
      </c>
      <c r="J507" s="873">
        <f>K507/100*40</f>
        <v>3484.8</v>
      </c>
      <c r="K507" s="873">
        <v>8712</v>
      </c>
    </row>
    <row r="508" spans="1:11" s="901" customFormat="1" ht="97.5" customHeight="1">
      <c r="A508" s="1041" t="s">
        <v>2455</v>
      </c>
      <c r="B508" s="1041"/>
      <c r="C508" s="1042"/>
      <c r="D508" s="1042"/>
      <c r="E508" s="1042"/>
      <c r="F508" s="1042"/>
      <c r="G508" s="1042"/>
      <c r="H508" s="1042"/>
      <c r="I508" s="1042"/>
      <c r="J508" s="903"/>
      <c r="K508" s="903"/>
    </row>
    <row r="509" spans="1:11" s="902" customFormat="1" ht="45.75">
      <c r="A509" s="979" t="s">
        <v>2493</v>
      </c>
      <c r="B509" s="979"/>
      <c r="C509" s="979"/>
      <c r="D509" s="979"/>
      <c r="E509" s="979"/>
      <c r="F509" s="979"/>
      <c r="G509" s="979"/>
      <c r="H509" s="979"/>
      <c r="I509" s="979"/>
      <c r="J509" s="979"/>
      <c r="K509" s="979"/>
    </row>
    <row r="510" spans="1:11" s="902" customFormat="1" ht="45.75">
      <c r="A510" s="979" t="s">
        <v>52</v>
      </c>
      <c r="B510" s="979"/>
      <c r="C510" s="979"/>
      <c r="D510" s="979"/>
      <c r="E510" s="979"/>
      <c r="F510" s="979"/>
      <c r="G510" s="979"/>
      <c r="H510" s="979"/>
      <c r="I510" s="979"/>
      <c r="J510" s="979"/>
      <c r="K510" s="979"/>
    </row>
    <row r="511" spans="1:11" s="902" customFormat="1" ht="45.75">
      <c r="A511" s="1040" t="s">
        <v>50</v>
      </c>
      <c r="B511" s="1040"/>
      <c r="C511" s="1040"/>
      <c r="D511" s="1040"/>
      <c r="E511" s="1040"/>
      <c r="F511" s="1040"/>
      <c r="G511" s="1040"/>
      <c r="H511" s="1040"/>
      <c r="I511" s="1040"/>
      <c r="J511" s="1040"/>
      <c r="K511" s="1040"/>
    </row>
    <row r="512" spans="1:11" s="902" customFormat="1" ht="45.75">
      <c r="A512" s="933"/>
      <c r="B512" s="933"/>
      <c r="C512" s="933"/>
      <c r="D512" s="933"/>
      <c r="E512" s="933"/>
      <c r="F512" s="933"/>
      <c r="G512" s="934"/>
      <c r="H512" s="934"/>
      <c r="I512" s="934"/>
      <c r="J512" s="934"/>
      <c r="K512" s="934"/>
    </row>
    <row r="513" spans="1:11" s="902" customFormat="1" ht="45.75">
      <c r="A513" s="979" t="s">
        <v>1489</v>
      </c>
      <c r="B513" s="979"/>
      <c r="C513" s="979"/>
      <c r="D513" s="979"/>
      <c r="E513" s="979"/>
      <c r="F513" s="979"/>
      <c r="G513" s="979"/>
      <c r="H513" s="979"/>
      <c r="I513" s="979"/>
      <c r="J513" s="979"/>
      <c r="K513" s="979"/>
    </row>
    <row r="514" spans="1:11" s="902" customFormat="1" ht="45.75">
      <c r="A514" s="933"/>
      <c r="B514" s="933"/>
      <c r="C514" s="933"/>
      <c r="D514" s="933"/>
      <c r="E514" s="933"/>
      <c r="F514" s="933"/>
      <c r="G514" s="934"/>
      <c r="H514" s="934"/>
      <c r="I514" s="934"/>
      <c r="J514" s="934"/>
      <c r="K514" s="934"/>
    </row>
    <row r="515" spans="1:11" s="902" customFormat="1" ht="45.75">
      <c r="A515" s="933"/>
      <c r="B515" s="933"/>
      <c r="C515" s="933"/>
      <c r="D515" s="933"/>
      <c r="E515" s="933"/>
      <c r="F515" s="933"/>
      <c r="G515" s="934"/>
      <c r="H515" s="934"/>
      <c r="I515" s="934"/>
      <c r="J515" s="934"/>
      <c r="K515" s="934"/>
    </row>
    <row r="516" spans="1:11" s="902" customFormat="1" ht="45.75">
      <c r="A516" s="979"/>
      <c r="B516" s="979"/>
      <c r="C516" s="979"/>
      <c r="D516" s="979"/>
      <c r="E516" s="979"/>
      <c r="F516" s="979"/>
      <c r="G516" s="979"/>
      <c r="H516" s="979"/>
      <c r="I516" s="979"/>
      <c r="J516" s="979"/>
      <c r="K516" s="979"/>
    </row>
    <row r="517" spans="1:11" s="902" customFormat="1" ht="45.75">
      <c r="A517" s="1067" t="s">
        <v>1381</v>
      </c>
      <c r="B517" s="1067"/>
      <c r="C517" s="1067"/>
      <c r="D517" s="1067"/>
      <c r="E517" s="1067"/>
      <c r="F517" s="1067"/>
      <c r="G517" s="1067"/>
      <c r="H517" s="1067"/>
      <c r="I517" s="1067"/>
      <c r="J517" s="1067"/>
      <c r="K517" s="1067"/>
    </row>
    <row r="518" spans="1:11" s="902" customFormat="1" ht="97.5" customHeight="1">
      <c r="A518" s="1111" t="s">
        <v>37</v>
      </c>
      <c r="B518" s="1112"/>
      <c r="C518" s="983" t="s">
        <v>178</v>
      </c>
      <c r="D518" s="983" t="s">
        <v>179</v>
      </c>
      <c r="E518" s="983" t="s">
        <v>1521</v>
      </c>
      <c r="F518" s="983" t="s">
        <v>14</v>
      </c>
      <c r="G518" s="983" t="s">
        <v>1515</v>
      </c>
      <c r="H518" s="983" t="s">
        <v>16</v>
      </c>
      <c r="I518" s="1108" t="s">
        <v>1490</v>
      </c>
      <c r="J518" s="1108" t="s">
        <v>2506</v>
      </c>
      <c r="K518" s="983" t="s">
        <v>200</v>
      </c>
    </row>
    <row r="519" spans="1:11" s="900" customFormat="1" ht="97.5" customHeight="1">
      <c r="A519" s="1113"/>
      <c r="B519" s="1114"/>
      <c r="C519" s="984"/>
      <c r="D519" s="984"/>
      <c r="E519" s="984"/>
      <c r="F519" s="984"/>
      <c r="G519" s="984"/>
      <c r="H519" s="984"/>
      <c r="I519" s="1108"/>
      <c r="J519" s="1108"/>
      <c r="K519" s="984"/>
    </row>
    <row r="520" spans="1:11" s="900" customFormat="1" ht="97.5" customHeight="1">
      <c r="A520" s="1109" t="s">
        <v>1564</v>
      </c>
      <c r="B520" s="1110"/>
      <c r="C520" s="921"/>
      <c r="D520" s="921"/>
      <c r="E520" s="922"/>
      <c r="F520" s="923"/>
      <c r="G520" s="924"/>
      <c r="H520" s="924"/>
      <c r="I520" s="920">
        <f>I521+I525</f>
        <v>260177.4</v>
      </c>
      <c r="J520" s="920">
        <f>J521+J525</f>
        <v>173451.6</v>
      </c>
      <c r="K520" s="920">
        <f>I520+J520</f>
        <v>433629</v>
      </c>
    </row>
    <row r="521" spans="1:11" s="902" customFormat="1" ht="97.5" customHeight="1">
      <c r="A521" s="1070" t="s">
        <v>1541</v>
      </c>
      <c r="B521" s="1071"/>
      <c r="C521" s="925"/>
      <c r="D521" s="925"/>
      <c r="E521" s="925"/>
      <c r="F521" s="931"/>
      <c r="G521" s="925"/>
      <c r="H521" s="926"/>
      <c r="I521" s="871">
        <f>SUM(I522:I524)</f>
        <v>236177.4</v>
      </c>
      <c r="J521" s="871">
        <f>SUM(J522:J524)</f>
        <v>157451.6</v>
      </c>
      <c r="K521" s="871">
        <f>I521+J521</f>
        <v>393629</v>
      </c>
    </row>
    <row r="522" spans="1:11" s="901" customFormat="1" ht="97.5" customHeight="1">
      <c r="A522" s="1068" t="s">
        <v>1566</v>
      </c>
      <c r="B522" s="1069"/>
      <c r="C522" s="928" t="s">
        <v>1544</v>
      </c>
      <c r="D522" s="928"/>
      <c r="E522" s="928" t="s">
        <v>1544</v>
      </c>
      <c r="F522" s="840" t="s">
        <v>2229</v>
      </c>
      <c r="G522" s="1072">
        <v>8100</v>
      </c>
      <c r="H522" s="1075" t="s">
        <v>2273</v>
      </c>
      <c r="I522" s="873">
        <f>K522/100*60</f>
        <v>46800</v>
      </c>
      <c r="J522" s="873">
        <f>K522/100*40</f>
        <v>31200</v>
      </c>
      <c r="K522" s="873">
        <v>78000</v>
      </c>
    </row>
    <row r="523" spans="1:11" s="901" customFormat="1" ht="97.5" customHeight="1">
      <c r="A523" s="1068" t="s">
        <v>1546</v>
      </c>
      <c r="B523" s="1069"/>
      <c r="C523" s="928" t="s">
        <v>1544</v>
      </c>
      <c r="D523" s="928"/>
      <c r="E523" s="928" t="s">
        <v>1544</v>
      </c>
      <c r="F523" s="840" t="s">
        <v>2230</v>
      </c>
      <c r="G523" s="1073"/>
      <c r="H523" s="1076"/>
      <c r="I523" s="873">
        <f>K523/100*60</f>
        <v>34800</v>
      </c>
      <c r="J523" s="873">
        <f>K523/100*40</f>
        <v>23200</v>
      </c>
      <c r="K523" s="873">
        <v>58000</v>
      </c>
    </row>
    <row r="524" spans="1:11" s="901" customFormat="1" ht="97.5" customHeight="1">
      <c r="A524" s="1068" t="s">
        <v>1568</v>
      </c>
      <c r="B524" s="1069"/>
      <c r="C524" s="928" t="s">
        <v>1544</v>
      </c>
      <c r="D524" s="928"/>
      <c r="E524" s="928" t="s">
        <v>1544</v>
      </c>
      <c r="F524" s="840" t="s">
        <v>2231</v>
      </c>
      <c r="G524" s="1073"/>
      <c r="H524" s="1076"/>
      <c r="I524" s="873">
        <f>K524/100*60</f>
        <v>154577.4</v>
      </c>
      <c r="J524" s="873">
        <f>K524/100*40</f>
        <v>103051.6</v>
      </c>
      <c r="K524" s="873">
        <v>257629</v>
      </c>
    </row>
    <row r="525" spans="1:11" s="902" customFormat="1" ht="97.5" customHeight="1">
      <c r="A525" s="1070" t="s">
        <v>312</v>
      </c>
      <c r="B525" s="1071"/>
      <c r="C525" s="925"/>
      <c r="D525" s="925"/>
      <c r="E525" s="925"/>
      <c r="F525" s="931"/>
      <c r="G525" s="925"/>
      <c r="H525" s="926"/>
      <c r="I525" s="871">
        <f>SUM(I526:I526)</f>
        <v>24000</v>
      </c>
      <c r="J525" s="871">
        <f>SUM(J526:J526)</f>
        <v>16000</v>
      </c>
      <c r="K525" s="871">
        <f>SUM(K526:K526)</f>
        <v>40000</v>
      </c>
    </row>
    <row r="526" spans="1:11" s="901" customFormat="1" ht="97.5" customHeight="1">
      <c r="A526" s="1068" t="s">
        <v>1567</v>
      </c>
      <c r="B526" s="1069"/>
      <c r="C526" s="928" t="s">
        <v>1544</v>
      </c>
      <c r="D526" s="928"/>
      <c r="E526" s="928" t="s">
        <v>1544</v>
      </c>
      <c r="F526" s="842" t="s">
        <v>2224</v>
      </c>
      <c r="G526" s="929">
        <v>8100</v>
      </c>
      <c r="H526" s="932" t="s">
        <v>2273</v>
      </c>
      <c r="I526" s="873">
        <f>K526/100*60</f>
        <v>24000</v>
      </c>
      <c r="J526" s="873">
        <f>K526/100*40</f>
        <v>16000</v>
      </c>
      <c r="K526" s="873">
        <v>40000</v>
      </c>
    </row>
    <row r="527" spans="1:11" s="951" customFormat="1" ht="97.5" customHeight="1">
      <c r="A527" s="1125"/>
      <c r="B527" s="1126"/>
      <c r="C527" s="947"/>
      <c r="D527" s="947"/>
      <c r="E527" s="948"/>
      <c r="F527" s="949"/>
      <c r="G527" s="950"/>
      <c r="H527" s="950"/>
      <c r="I527" s="742"/>
      <c r="J527" s="742"/>
      <c r="K527" s="742"/>
    </row>
    <row r="528" spans="1:11" s="902" customFormat="1" ht="97.5" customHeight="1">
      <c r="A528" s="1111" t="s">
        <v>37</v>
      </c>
      <c r="B528" s="1112"/>
      <c r="C528" s="983" t="s">
        <v>178</v>
      </c>
      <c r="D528" s="983" t="s">
        <v>179</v>
      </c>
      <c r="E528" s="983" t="s">
        <v>1521</v>
      </c>
      <c r="F528" s="983" t="s">
        <v>14</v>
      </c>
      <c r="G528" s="983" t="s">
        <v>1515</v>
      </c>
      <c r="H528" s="983" t="s">
        <v>16</v>
      </c>
      <c r="I528" s="1108" t="s">
        <v>1490</v>
      </c>
      <c r="J528" s="1108" t="s">
        <v>2506</v>
      </c>
      <c r="K528" s="983" t="s">
        <v>200</v>
      </c>
    </row>
    <row r="529" spans="1:11" s="900" customFormat="1" ht="97.5" customHeight="1">
      <c r="A529" s="1113"/>
      <c r="B529" s="1114"/>
      <c r="C529" s="984"/>
      <c r="D529" s="984"/>
      <c r="E529" s="984"/>
      <c r="F529" s="984"/>
      <c r="G529" s="984"/>
      <c r="H529" s="984"/>
      <c r="I529" s="1108"/>
      <c r="J529" s="1108"/>
      <c r="K529" s="984"/>
    </row>
    <row r="530" spans="1:11" s="900" customFormat="1" ht="97.5" customHeight="1">
      <c r="A530" s="1109" t="s">
        <v>1710</v>
      </c>
      <c r="B530" s="1110"/>
      <c r="C530" s="921"/>
      <c r="D530" s="921"/>
      <c r="E530" s="922"/>
      <c r="F530" s="923"/>
      <c r="G530" s="924"/>
      <c r="H530" s="924"/>
      <c r="I530" s="920">
        <f>I531</f>
        <v>167322.6</v>
      </c>
      <c r="J530" s="920">
        <f>J531</f>
        <v>111548.4</v>
      </c>
      <c r="K530" s="920">
        <f>I530+J530</f>
        <v>278871</v>
      </c>
    </row>
    <row r="531" spans="1:11" s="902" customFormat="1" ht="97.5" customHeight="1">
      <c r="A531" s="1070" t="s">
        <v>1541</v>
      </c>
      <c r="B531" s="1071"/>
      <c r="C531" s="925"/>
      <c r="D531" s="925"/>
      <c r="E531" s="925"/>
      <c r="F531" s="931"/>
      <c r="G531" s="925"/>
      <c r="H531" s="926"/>
      <c r="I531" s="871">
        <f>SUM(I532:I539)</f>
        <v>167322.6</v>
      </c>
      <c r="J531" s="871">
        <f>SUM(J532:J539)</f>
        <v>111548.4</v>
      </c>
      <c r="K531" s="871">
        <f>I531+J531</f>
        <v>278871</v>
      </c>
    </row>
    <row r="532" spans="1:11" s="901" customFormat="1" ht="127.5" customHeight="1">
      <c r="A532" s="1068" t="s">
        <v>1761</v>
      </c>
      <c r="B532" s="1069"/>
      <c r="C532" s="928" t="s">
        <v>1712</v>
      </c>
      <c r="D532" s="928">
        <v>10</v>
      </c>
      <c r="E532" s="928" t="s">
        <v>1713</v>
      </c>
      <c r="F532" s="1044" t="s">
        <v>2229</v>
      </c>
      <c r="G532" s="1072">
        <v>8100</v>
      </c>
      <c r="H532" s="1075" t="s">
        <v>2273</v>
      </c>
      <c r="I532" s="873">
        <f t="shared" ref="I532:I539" si="17">K532/100*60</f>
        <v>18000</v>
      </c>
      <c r="J532" s="873">
        <f t="shared" ref="J532:J539" si="18">K532/100*40</f>
        <v>12000</v>
      </c>
      <c r="K532" s="873">
        <v>30000</v>
      </c>
    </row>
    <row r="533" spans="1:11" s="901" customFormat="1" ht="127.5" customHeight="1">
      <c r="A533" s="1068" t="s">
        <v>1762</v>
      </c>
      <c r="B533" s="1069"/>
      <c r="C533" s="928" t="s">
        <v>1714</v>
      </c>
      <c r="D533" s="928">
        <v>10</v>
      </c>
      <c r="E533" s="928" t="s">
        <v>1715</v>
      </c>
      <c r="F533" s="1045"/>
      <c r="G533" s="1073"/>
      <c r="H533" s="1076"/>
      <c r="I533" s="873">
        <f t="shared" si="17"/>
        <v>18000</v>
      </c>
      <c r="J533" s="873">
        <f t="shared" si="18"/>
        <v>12000</v>
      </c>
      <c r="K533" s="873">
        <v>30000</v>
      </c>
    </row>
    <row r="534" spans="1:11" s="901" customFormat="1" ht="127.5" customHeight="1">
      <c r="A534" s="1068" t="s">
        <v>1763</v>
      </c>
      <c r="B534" s="1069"/>
      <c r="C534" s="928" t="s">
        <v>1716</v>
      </c>
      <c r="D534" s="928">
        <v>15</v>
      </c>
      <c r="E534" s="928" t="s">
        <v>1717</v>
      </c>
      <c r="F534" s="1045"/>
      <c r="G534" s="1073"/>
      <c r="H534" s="1076"/>
      <c r="I534" s="873">
        <f t="shared" si="17"/>
        <v>14400</v>
      </c>
      <c r="J534" s="873">
        <f t="shared" si="18"/>
        <v>9600</v>
      </c>
      <c r="K534" s="873">
        <v>24000</v>
      </c>
    </row>
    <row r="535" spans="1:11" s="901" customFormat="1" ht="127.5" customHeight="1">
      <c r="A535" s="1068" t="s">
        <v>1764</v>
      </c>
      <c r="B535" s="1069"/>
      <c r="C535" s="928" t="s">
        <v>1718</v>
      </c>
      <c r="D535" s="928">
        <v>30</v>
      </c>
      <c r="E535" s="928" t="s">
        <v>1719</v>
      </c>
      <c r="F535" s="842" t="s">
        <v>2236</v>
      </c>
      <c r="G535" s="1074"/>
      <c r="H535" s="1077"/>
      <c r="I535" s="873">
        <f t="shared" si="17"/>
        <v>6000</v>
      </c>
      <c r="J535" s="873">
        <f t="shared" si="18"/>
        <v>4000</v>
      </c>
      <c r="K535" s="873">
        <v>10000</v>
      </c>
    </row>
    <row r="536" spans="1:11" s="901" customFormat="1" ht="127.5" customHeight="1">
      <c r="A536" s="1068" t="s">
        <v>1765</v>
      </c>
      <c r="B536" s="1069"/>
      <c r="C536" s="928" t="s">
        <v>1720</v>
      </c>
      <c r="D536" s="928">
        <v>70</v>
      </c>
      <c r="E536" s="928" t="s">
        <v>1721</v>
      </c>
      <c r="F536" s="840" t="s">
        <v>2230</v>
      </c>
      <c r="G536" s="956">
        <v>8100</v>
      </c>
      <c r="H536" s="930" t="s">
        <v>2273</v>
      </c>
      <c r="I536" s="873">
        <f t="shared" si="17"/>
        <v>32322.600000000002</v>
      </c>
      <c r="J536" s="873">
        <f t="shared" si="18"/>
        <v>21548.400000000001</v>
      </c>
      <c r="K536" s="873">
        <v>53871</v>
      </c>
    </row>
    <row r="537" spans="1:11" s="901" customFormat="1" ht="127.5" customHeight="1">
      <c r="A537" s="1068" t="s">
        <v>1766</v>
      </c>
      <c r="B537" s="1069"/>
      <c r="C537" s="928" t="s">
        <v>1722</v>
      </c>
      <c r="D537" s="928">
        <v>60</v>
      </c>
      <c r="E537" s="928" t="s">
        <v>1723</v>
      </c>
      <c r="F537" s="1044" t="s">
        <v>2231</v>
      </c>
      <c r="G537" s="1072">
        <v>8100</v>
      </c>
      <c r="H537" s="1075" t="s">
        <v>2273</v>
      </c>
      <c r="I537" s="873">
        <f t="shared" si="17"/>
        <v>32400</v>
      </c>
      <c r="J537" s="873">
        <f t="shared" si="18"/>
        <v>21600</v>
      </c>
      <c r="K537" s="873">
        <v>54000</v>
      </c>
    </row>
    <row r="538" spans="1:11" s="901" customFormat="1" ht="127.5" customHeight="1">
      <c r="A538" s="1068" t="s">
        <v>1767</v>
      </c>
      <c r="B538" s="1069"/>
      <c r="C538" s="928" t="s">
        <v>1724</v>
      </c>
      <c r="D538" s="928">
        <v>10</v>
      </c>
      <c r="E538" s="928" t="s">
        <v>1723</v>
      </c>
      <c r="F538" s="1045"/>
      <c r="G538" s="1073"/>
      <c r="H538" s="1076"/>
      <c r="I538" s="873">
        <f t="shared" si="17"/>
        <v>33000</v>
      </c>
      <c r="J538" s="873">
        <f t="shared" si="18"/>
        <v>22000</v>
      </c>
      <c r="K538" s="873">
        <v>55000</v>
      </c>
    </row>
    <row r="539" spans="1:11" s="901" customFormat="1" ht="127.5" customHeight="1">
      <c r="A539" s="1068" t="s">
        <v>1768</v>
      </c>
      <c r="B539" s="1069"/>
      <c r="C539" s="928" t="s">
        <v>1725</v>
      </c>
      <c r="D539" s="928">
        <v>10</v>
      </c>
      <c r="E539" s="928" t="s">
        <v>1726</v>
      </c>
      <c r="F539" s="1046"/>
      <c r="G539" s="1074"/>
      <c r="H539" s="1077"/>
      <c r="I539" s="873">
        <f t="shared" si="17"/>
        <v>13200</v>
      </c>
      <c r="J539" s="873">
        <f t="shared" si="18"/>
        <v>8800</v>
      </c>
      <c r="K539" s="873">
        <v>22000</v>
      </c>
    </row>
    <row r="540" spans="1:11" s="902" customFormat="1" ht="97.5" customHeight="1">
      <c r="A540" s="1066" t="s">
        <v>2455</v>
      </c>
      <c r="B540" s="1066"/>
      <c r="C540" s="1066"/>
      <c r="D540" s="1066"/>
      <c r="E540" s="1066"/>
      <c r="F540" s="1066"/>
      <c r="G540" s="1066"/>
      <c r="H540" s="1066"/>
      <c r="I540" s="1066"/>
      <c r="J540" s="1066"/>
      <c r="K540" s="1066"/>
    </row>
    <row r="541" spans="1:11" s="902" customFormat="1" ht="45.75">
      <c r="A541" s="979" t="s">
        <v>2493</v>
      </c>
      <c r="B541" s="979"/>
      <c r="C541" s="979"/>
      <c r="D541" s="979"/>
      <c r="E541" s="979"/>
      <c r="F541" s="979"/>
      <c r="G541" s="979"/>
      <c r="H541" s="979"/>
      <c r="I541" s="979"/>
      <c r="J541" s="979"/>
      <c r="K541" s="979"/>
    </row>
    <row r="542" spans="1:11" s="902" customFormat="1" ht="45.75">
      <c r="A542" s="979" t="s">
        <v>52</v>
      </c>
      <c r="B542" s="979"/>
      <c r="C542" s="979"/>
      <c r="D542" s="979"/>
      <c r="E542" s="979"/>
      <c r="F542" s="979"/>
      <c r="G542" s="979"/>
      <c r="H542" s="979"/>
      <c r="I542" s="979"/>
      <c r="J542" s="979"/>
      <c r="K542" s="979"/>
    </row>
    <row r="543" spans="1:11" s="902" customFormat="1" ht="45.75">
      <c r="A543" s="1040" t="s">
        <v>50</v>
      </c>
      <c r="B543" s="1040"/>
      <c r="C543" s="1040"/>
      <c r="D543" s="1040"/>
      <c r="E543" s="1040"/>
      <c r="F543" s="1040"/>
      <c r="G543" s="1040"/>
      <c r="H543" s="1040"/>
      <c r="I543" s="1040"/>
      <c r="J543" s="1040"/>
      <c r="K543" s="1040"/>
    </row>
    <row r="544" spans="1:11" s="902" customFormat="1" ht="45.75">
      <c r="A544" s="933"/>
      <c r="B544" s="933"/>
      <c r="C544" s="933"/>
      <c r="D544" s="933"/>
      <c r="E544" s="933"/>
      <c r="F544" s="933"/>
      <c r="G544" s="934"/>
      <c r="H544" s="934"/>
      <c r="I544" s="934"/>
      <c r="J544" s="934"/>
      <c r="K544" s="934"/>
    </row>
    <row r="545" spans="1:11" s="902" customFormat="1" ht="45.75">
      <c r="A545" s="979" t="s">
        <v>1489</v>
      </c>
      <c r="B545" s="979"/>
      <c r="C545" s="979"/>
      <c r="D545" s="979"/>
      <c r="E545" s="979"/>
      <c r="F545" s="979"/>
      <c r="G545" s="979"/>
      <c r="H545" s="979"/>
      <c r="I545" s="979"/>
      <c r="J545" s="979"/>
      <c r="K545" s="979"/>
    </row>
    <row r="546" spans="1:11" s="902" customFormat="1" ht="45.75">
      <c r="A546" s="933"/>
      <c r="B546" s="933"/>
      <c r="C546" s="933"/>
      <c r="D546" s="933"/>
      <c r="E546" s="933"/>
      <c r="F546" s="933"/>
      <c r="G546" s="934"/>
      <c r="H546" s="934"/>
      <c r="I546" s="934"/>
      <c r="J546" s="934"/>
      <c r="K546" s="934"/>
    </row>
    <row r="547" spans="1:11" s="902" customFormat="1" ht="45.75">
      <c r="A547" s="933"/>
      <c r="B547" s="933"/>
      <c r="C547" s="933"/>
      <c r="D547" s="933"/>
      <c r="E547" s="933"/>
      <c r="F547" s="933"/>
      <c r="G547" s="934"/>
      <c r="H547" s="934"/>
      <c r="I547" s="934"/>
      <c r="J547" s="934"/>
      <c r="K547" s="934"/>
    </row>
    <row r="548" spans="1:11" s="902" customFormat="1" ht="45.75">
      <c r="A548" s="979"/>
      <c r="B548" s="979"/>
      <c r="C548" s="979"/>
      <c r="D548" s="979"/>
      <c r="E548" s="979"/>
      <c r="F548" s="979"/>
      <c r="G548" s="979"/>
      <c r="H548" s="979"/>
      <c r="I548" s="979"/>
      <c r="J548" s="979"/>
      <c r="K548" s="979"/>
    </row>
    <row r="549" spans="1:11" s="902" customFormat="1" ht="45.75">
      <c r="A549" s="1067" t="s">
        <v>1381</v>
      </c>
      <c r="B549" s="1067"/>
      <c r="C549" s="1067"/>
      <c r="D549" s="1067"/>
      <c r="E549" s="1067"/>
      <c r="F549" s="1067"/>
      <c r="G549" s="1067"/>
      <c r="H549" s="1067"/>
      <c r="I549" s="1067"/>
      <c r="J549" s="1067"/>
      <c r="K549" s="1067"/>
    </row>
    <row r="550" spans="1:11" s="902" customFormat="1" ht="97.5" customHeight="1">
      <c r="A550" s="1111" t="s">
        <v>37</v>
      </c>
      <c r="B550" s="1112"/>
      <c r="C550" s="983" t="s">
        <v>178</v>
      </c>
      <c r="D550" s="983" t="s">
        <v>179</v>
      </c>
      <c r="E550" s="983" t="s">
        <v>1521</v>
      </c>
      <c r="F550" s="983" t="s">
        <v>14</v>
      </c>
      <c r="G550" s="983" t="s">
        <v>1515</v>
      </c>
      <c r="H550" s="983" t="s">
        <v>16</v>
      </c>
      <c r="I550" s="1108" t="s">
        <v>1490</v>
      </c>
      <c r="J550" s="1108" t="s">
        <v>2506</v>
      </c>
      <c r="K550" s="983" t="s">
        <v>200</v>
      </c>
    </row>
    <row r="551" spans="1:11" s="900" customFormat="1" ht="97.5" customHeight="1">
      <c r="A551" s="1113"/>
      <c r="B551" s="1114"/>
      <c r="C551" s="984"/>
      <c r="D551" s="984"/>
      <c r="E551" s="984"/>
      <c r="F551" s="984"/>
      <c r="G551" s="984"/>
      <c r="H551" s="984"/>
      <c r="I551" s="1108"/>
      <c r="J551" s="1108"/>
      <c r="K551" s="984"/>
    </row>
    <row r="552" spans="1:11" s="900" customFormat="1" ht="97.5" customHeight="1">
      <c r="A552" s="1109" t="s">
        <v>1844</v>
      </c>
      <c r="B552" s="1110"/>
      <c r="C552" s="921"/>
      <c r="D552" s="921"/>
      <c r="E552" s="922"/>
      <c r="F552" s="923"/>
      <c r="G552" s="924"/>
      <c r="H552" s="924"/>
      <c r="I552" s="920">
        <f>I558+I569+I553+I567</f>
        <v>113415.6</v>
      </c>
      <c r="J552" s="920">
        <f>J558+J569+J553+J567</f>
        <v>75610.399999999994</v>
      </c>
      <c r="K552" s="920">
        <f>I552+J552</f>
        <v>189026</v>
      </c>
    </row>
    <row r="553" spans="1:11" s="927" customFormat="1" ht="97.5" customHeight="1">
      <c r="A553" s="1070" t="s">
        <v>2251</v>
      </c>
      <c r="B553" s="1115"/>
      <c r="C553" s="1115"/>
      <c r="D553" s="1115"/>
      <c r="E553" s="1115"/>
      <c r="F553" s="1071"/>
      <c r="G553" s="925"/>
      <c r="H553" s="926"/>
      <c r="I553" s="871">
        <f>SUM(I554:I557)</f>
        <v>54003</v>
      </c>
      <c r="J553" s="871">
        <f>SUM(J554:J557)</f>
        <v>36002</v>
      </c>
      <c r="K553" s="871">
        <f>I553+J553</f>
        <v>90005</v>
      </c>
    </row>
    <row r="554" spans="1:11" s="901" customFormat="1" ht="127.5" customHeight="1">
      <c r="A554" s="1068" t="s">
        <v>1849</v>
      </c>
      <c r="B554" s="1069"/>
      <c r="C554" s="928" t="s">
        <v>147</v>
      </c>
      <c r="D554" s="928">
        <v>36</v>
      </c>
      <c r="E554" s="928" t="s">
        <v>1845</v>
      </c>
      <c r="F554" s="1044" t="s">
        <v>2259</v>
      </c>
      <c r="G554" s="1072">
        <v>8100</v>
      </c>
      <c r="H554" s="1075" t="s">
        <v>2273</v>
      </c>
      <c r="I554" s="873">
        <f>K554/100*60</f>
        <v>10305</v>
      </c>
      <c r="J554" s="873">
        <f>K554/100*40</f>
        <v>6870</v>
      </c>
      <c r="K554" s="873">
        <v>17175</v>
      </c>
    </row>
    <row r="555" spans="1:11" s="901" customFormat="1" ht="127.5" customHeight="1">
      <c r="A555" s="1068" t="s">
        <v>1850</v>
      </c>
      <c r="B555" s="1069"/>
      <c r="C555" s="928" t="s">
        <v>1846</v>
      </c>
      <c r="D555" s="928">
        <v>47</v>
      </c>
      <c r="E555" s="928" t="s">
        <v>1845</v>
      </c>
      <c r="F555" s="1045"/>
      <c r="G555" s="1073"/>
      <c r="H555" s="1076"/>
      <c r="I555" s="873">
        <f>K555/100*60</f>
        <v>9036</v>
      </c>
      <c r="J555" s="873">
        <f>K555/100*40</f>
        <v>6024</v>
      </c>
      <c r="K555" s="873">
        <v>15060</v>
      </c>
    </row>
    <row r="556" spans="1:11" s="901" customFormat="1" ht="127.5" customHeight="1">
      <c r="A556" s="1068" t="s">
        <v>1851</v>
      </c>
      <c r="B556" s="1069"/>
      <c r="C556" s="928" t="s">
        <v>1846</v>
      </c>
      <c r="D556" s="928">
        <v>45</v>
      </c>
      <c r="E556" s="928" t="s">
        <v>1845</v>
      </c>
      <c r="F556" s="1045"/>
      <c r="G556" s="1073"/>
      <c r="H556" s="1076"/>
      <c r="I556" s="873">
        <f>K556/100*60</f>
        <v>31662.000000000004</v>
      </c>
      <c r="J556" s="873">
        <f>K556/100*40</f>
        <v>21108</v>
      </c>
      <c r="K556" s="873">
        <v>52770</v>
      </c>
    </row>
    <row r="557" spans="1:11" s="901" customFormat="1" ht="127.5" customHeight="1">
      <c r="A557" s="1068" t="s">
        <v>1852</v>
      </c>
      <c r="B557" s="1069"/>
      <c r="C557" s="928" t="s">
        <v>1847</v>
      </c>
      <c r="D557" s="928">
        <v>3</v>
      </c>
      <c r="E557" s="928" t="s">
        <v>1848</v>
      </c>
      <c r="F557" s="1046"/>
      <c r="G557" s="1074"/>
      <c r="H557" s="1077"/>
      <c r="I557" s="873">
        <f>K557/100*60</f>
        <v>3000</v>
      </c>
      <c r="J557" s="873">
        <f>K557/100*40</f>
        <v>2000</v>
      </c>
      <c r="K557" s="873">
        <v>5000</v>
      </c>
    </row>
    <row r="558" spans="1:11" s="902" customFormat="1" ht="97.5" customHeight="1">
      <c r="A558" s="1070" t="s">
        <v>1541</v>
      </c>
      <c r="B558" s="1071"/>
      <c r="C558" s="925"/>
      <c r="D558" s="925"/>
      <c r="E558" s="925"/>
      <c r="F558" s="931"/>
      <c r="G558" s="925"/>
      <c r="H558" s="926"/>
      <c r="I558" s="871">
        <f>SUM(I559:I566)</f>
        <v>48394.8</v>
      </c>
      <c r="J558" s="871">
        <f>SUM(J559:J566)</f>
        <v>32263.199999999997</v>
      </c>
      <c r="K558" s="871">
        <f>I558+J558</f>
        <v>80658</v>
      </c>
    </row>
    <row r="559" spans="1:11" s="901" customFormat="1" ht="127.5" customHeight="1">
      <c r="A559" s="1068" t="s">
        <v>1865</v>
      </c>
      <c r="B559" s="1069"/>
      <c r="C559" s="928" t="s">
        <v>1855</v>
      </c>
      <c r="D559" s="928">
        <v>3</v>
      </c>
      <c r="E559" s="928" t="s">
        <v>1856</v>
      </c>
      <c r="F559" s="840" t="s">
        <v>2229</v>
      </c>
      <c r="G559" s="1072">
        <v>8100</v>
      </c>
      <c r="H559" s="1075" t="s">
        <v>2273</v>
      </c>
      <c r="I559" s="873">
        <f t="shared" ref="I559:I566" si="19">K559/100*60</f>
        <v>4800</v>
      </c>
      <c r="J559" s="873">
        <f t="shared" ref="J559:J566" si="20">K559/100*40</f>
        <v>3200</v>
      </c>
      <c r="K559" s="873">
        <v>8000</v>
      </c>
    </row>
    <row r="560" spans="1:11" s="901" customFormat="1" ht="127.5" customHeight="1">
      <c r="A560" s="1068" t="s">
        <v>1866</v>
      </c>
      <c r="B560" s="1069"/>
      <c r="C560" s="928" t="s">
        <v>1853</v>
      </c>
      <c r="D560" s="928">
        <v>5</v>
      </c>
      <c r="E560" s="928" t="s">
        <v>1854</v>
      </c>
      <c r="F560" s="840" t="s">
        <v>2230</v>
      </c>
      <c r="G560" s="1073"/>
      <c r="H560" s="1076"/>
      <c r="I560" s="873">
        <f t="shared" si="19"/>
        <v>8960.4</v>
      </c>
      <c r="J560" s="873">
        <f t="shared" si="20"/>
        <v>5973.6</v>
      </c>
      <c r="K560" s="873">
        <v>14934</v>
      </c>
    </row>
    <row r="561" spans="1:11" s="901" customFormat="1" ht="127.5" customHeight="1">
      <c r="A561" s="1068" t="s">
        <v>1867</v>
      </c>
      <c r="B561" s="1069"/>
      <c r="C561" s="928" t="s">
        <v>1857</v>
      </c>
      <c r="D561" s="928">
        <v>12</v>
      </c>
      <c r="E561" s="928" t="s">
        <v>1858</v>
      </c>
      <c r="F561" s="1044" t="s">
        <v>2231</v>
      </c>
      <c r="G561" s="1073"/>
      <c r="H561" s="1076"/>
      <c r="I561" s="873">
        <f t="shared" si="19"/>
        <v>2100</v>
      </c>
      <c r="J561" s="873">
        <f t="shared" si="20"/>
        <v>1400</v>
      </c>
      <c r="K561" s="873">
        <v>3500</v>
      </c>
    </row>
    <row r="562" spans="1:11" s="901" customFormat="1" ht="127.5" customHeight="1">
      <c r="A562" s="1068" t="s">
        <v>1868</v>
      </c>
      <c r="B562" s="1069"/>
      <c r="C562" s="928" t="s">
        <v>1859</v>
      </c>
      <c r="D562" s="928">
        <v>1</v>
      </c>
      <c r="E562" s="928" t="s">
        <v>1860</v>
      </c>
      <c r="F562" s="1045"/>
      <c r="G562" s="1073"/>
      <c r="H562" s="1076"/>
      <c r="I562" s="873">
        <f t="shared" si="19"/>
        <v>12660</v>
      </c>
      <c r="J562" s="873">
        <f t="shared" si="20"/>
        <v>8440</v>
      </c>
      <c r="K562" s="873">
        <v>21100</v>
      </c>
    </row>
    <row r="563" spans="1:11" s="901" customFormat="1" ht="127.5" customHeight="1">
      <c r="A563" s="1068" t="s">
        <v>1869</v>
      </c>
      <c r="B563" s="1069"/>
      <c r="C563" s="928" t="s">
        <v>1861</v>
      </c>
      <c r="D563" s="928">
        <v>16</v>
      </c>
      <c r="E563" s="928" t="s">
        <v>1862</v>
      </c>
      <c r="F563" s="1045"/>
      <c r="G563" s="1073"/>
      <c r="H563" s="1076"/>
      <c r="I563" s="873">
        <f t="shared" si="19"/>
        <v>7200</v>
      </c>
      <c r="J563" s="873">
        <f t="shared" si="20"/>
        <v>4800</v>
      </c>
      <c r="K563" s="873">
        <v>12000</v>
      </c>
    </row>
    <row r="564" spans="1:11" s="901" customFormat="1" ht="127.5" customHeight="1">
      <c r="A564" s="1068" t="s">
        <v>1870</v>
      </c>
      <c r="B564" s="1069"/>
      <c r="C564" s="928" t="s">
        <v>1853</v>
      </c>
      <c r="D564" s="928">
        <v>5</v>
      </c>
      <c r="E564" s="928" t="s">
        <v>1854</v>
      </c>
      <c r="F564" s="1045"/>
      <c r="G564" s="1073"/>
      <c r="H564" s="1076"/>
      <c r="I564" s="873">
        <f t="shared" si="19"/>
        <v>900</v>
      </c>
      <c r="J564" s="873">
        <f t="shared" si="20"/>
        <v>600</v>
      </c>
      <c r="K564" s="873">
        <v>1500</v>
      </c>
    </row>
    <row r="565" spans="1:11" s="901" customFormat="1" ht="127.5" customHeight="1">
      <c r="A565" s="1068" t="s">
        <v>1871</v>
      </c>
      <c r="B565" s="1069"/>
      <c r="C565" s="928" t="s">
        <v>1863</v>
      </c>
      <c r="D565" s="928">
        <v>3</v>
      </c>
      <c r="E565" s="928" t="s">
        <v>1864</v>
      </c>
      <c r="F565" s="1045"/>
      <c r="G565" s="1073"/>
      <c r="H565" s="1076"/>
      <c r="I565" s="873">
        <f t="shared" si="19"/>
        <v>7574.4</v>
      </c>
      <c r="J565" s="873">
        <f t="shared" si="20"/>
        <v>5049.5999999999995</v>
      </c>
      <c r="K565" s="873">
        <v>12624</v>
      </c>
    </row>
    <row r="566" spans="1:11" s="901" customFormat="1" ht="127.5" customHeight="1">
      <c r="A566" s="1068" t="s">
        <v>1872</v>
      </c>
      <c r="B566" s="1069"/>
      <c r="C566" s="928" t="s">
        <v>1861</v>
      </c>
      <c r="D566" s="928">
        <v>16</v>
      </c>
      <c r="E566" s="928" t="s">
        <v>1862</v>
      </c>
      <c r="F566" s="1046"/>
      <c r="G566" s="1074"/>
      <c r="H566" s="1077"/>
      <c r="I566" s="873">
        <f t="shared" si="19"/>
        <v>4200</v>
      </c>
      <c r="J566" s="873">
        <f t="shared" si="20"/>
        <v>2800</v>
      </c>
      <c r="K566" s="873">
        <v>7000</v>
      </c>
    </row>
    <row r="567" spans="1:11" s="902" customFormat="1" ht="97.5" customHeight="1">
      <c r="A567" s="1070" t="s">
        <v>278</v>
      </c>
      <c r="B567" s="1071"/>
      <c r="C567" s="925"/>
      <c r="D567" s="925"/>
      <c r="E567" s="925"/>
      <c r="F567" s="931"/>
      <c r="G567" s="925"/>
      <c r="H567" s="926"/>
      <c r="I567" s="871">
        <f>SUM(I568)</f>
        <v>3900</v>
      </c>
      <c r="J567" s="871">
        <f>SUM(J568)</f>
        <v>2600</v>
      </c>
      <c r="K567" s="871">
        <f>I567+J567</f>
        <v>6500</v>
      </c>
    </row>
    <row r="568" spans="1:11" s="901" customFormat="1" ht="127.5" customHeight="1">
      <c r="A568" s="1068" t="s">
        <v>1873</v>
      </c>
      <c r="B568" s="1069"/>
      <c r="C568" s="928" t="s">
        <v>1215</v>
      </c>
      <c r="D568" s="928">
        <v>3</v>
      </c>
      <c r="E568" s="945" t="s">
        <v>1874</v>
      </c>
      <c r="F568" s="842" t="s">
        <v>2234</v>
      </c>
      <c r="G568" s="929">
        <v>8100</v>
      </c>
      <c r="H568" s="932" t="s">
        <v>2445</v>
      </c>
      <c r="I568" s="873">
        <f>K568/100*60</f>
        <v>3900</v>
      </c>
      <c r="J568" s="873">
        <f>K568/100*40</f>
        <v>2600</v>
      </c>
      <c r="K568" s="873">
        <v>6500</v>
      </c>
    </row>
    <row r="569" spans="1:11" s="902" customFormat="1" ht="97.5" customHeight="1">
      <c r="A569" s="1070" t="s">
        <v>312</v>
      </c>
      <c r="B569" s="1071"/>
      <c r="C569" s="925"/>
      <c r="D569" s="925"/>
      <c r="E569" s="925"/>
      <c r="F569" s="931"/>
      <c r="G569" s="925"/>
      <c r="H569" s="926"/>
      <c r="I569" s="871">
        <f>SUM(I570:I571)</f>
        <v>7117.7999999999993</v>
      </c>
      <c r="J569" s="871">
        <f>SUM(J570:J571)</f>
        <v>4745.2</v>
      </c>
      <c r="K569" s="871">
        <f>I569+J569</f>
        <v>11863</v>
      </c>
    </row>
    <row r="570" spans="1:11" s="901" customFormat="1" ht="127.5" customHeight="1">
      <c r="A570" s="1068" t="s">
        <v>1875</v>
      </c>
      <c r="B570" s="1069"/>
      <c r="C570" s="928" t="s">
        <v>1623</v>
      </c>
      <c r="D570" s="928">
        <v>8</v>
      </c>
      <c r="E570" s="928" t="s">
        <v>1877</v>
      </c>
      <c r="F570" s="1044" t="s">
        <v>2224</v>
      </c>
      <c r="G570" s="1072">
        <v>8100</v>
      </c>
      <c r="H570" s="1075" t="s">
        <v>2273</v>
      </c>
      <c r="I570" s="873">
        <f>K570/100*60</f>
        <v>1710</v>
      </c>
      <c r="J570" s="873">
        <f>K570/100*40</f>
        <v>1140</v>
      </c>
      <c r="K570" s="873">
        <v>2850</v>
      </c>
    </row>
    <row r="571" spans="1:11" s="901" customFormat="1" ht="127.5" customHeight="1">
      <c r="A571" s="1068" t="s">
        <v>1876</v>
      </c>
      <c r="B571" s="1069"/>
      <c r="C571" s="928" t="s">
        <v>1861</v>
      </c>
      <c r="D571" s="928">
        <v>15</v>
      </c>
      <c r="E571" s="928" t="s">
        <v>1878</v>
      </c>
      <c r="F571" s="1046"/>
      <c r="G571" s="1074"/>
      <c r="H571" s="1077"/>
      <c r="I571" s="873">
        <f>K571/100*60</f>
        <v>5407.7999999999993</v>
      </c>
      <c r="J571" s="873">
        <f>K571/100*40</f>
        <v>3605.2</v>
      </c>
      <c r="K571" s="873">
        <v>9013</v>
      </c>
    </row>
    <row r="572" spans="1:11" s="902" customFormat="1" ht="97.5" customHeight="1">
      <c r="A572" s="1066" t="s">
        <v>2455</v>
      </c>
      <c r="B572" s="1066"/>
      <c r="C572" s="1066"/>
      <c r="D572" s="1066"/>
      <c r="E572" s="1066"/>
      <c r="F572" s="1066"/>
      <c r="G572" s="1066"/>
      <c r="H572" s="1066"/>
      <c r="I572" s="1066"/>
      <c r="J572" s="1066"/>
      <c r="K572" s="1066"/>
    </row>
    <row r="573" spans="1:11" s="902" customFormat="1" ht="45.75">
      <c r="A573" s="979" t="s">
        <v>2493</v>
      </c>
      <c r="B573" s="979"/>
      <c r="C573" s="979"/>
      <c r="D573" s="979"/>
      <c r="E573" s="979"/>
      <c r="F573" s="979"/>
      <c r="G573" s="979"/>
      <c r="H573" s="979"/>
      <c r="I573" s="979"/>
      <c r="J573" s="979"/>
      <c r="K573" s="979"/>
    </row>
    <row r="574" spans="1:11" s="902" customFormat="1" ht="45.75">
      <c r="A574" s="979" t="s">
        <v>52</v>
      </c>
      <c r="B574" s="979"/>
      <c r="C574" s="979"/>
      <c r="D574" s="979"/>
      <c r="E574" s="979"/>
      <c r="F574" s="979"/>
      <c r="G574" s="979"/>
      <c r="H574" s="979"/>
      <c r="I574" s="979"/>
      <c r="J574" s="979"/>
      <c r="K574" s="979"/>
    </row>
    <row r="575" spans="1:11" s="902" customFormat="1" ht="45.75">
      <c r="A575" s="1040" t="s">
        <v>50</v>
      </c>
      <c r="B575" s="1040"/>
      <c r="C575" s="1040"/>
      <c r="D575" s="1040"/>
      <c r="E575" s="1040"/>
      <c r="F575" s="1040"/>
      <c r="G575" s="1040"/>
      <c r="H575" s="1040"/>
      <c r="I575" s="1040"/>
      <c r="J575" s="1040"/>
      <c r="K575" s="1040"/>
    </row>
    <row r="576" spans="1:11" s="902" customFormat="1" ht="45.75">
      <c r="A576" s="933"/>
      <c r="B576" s="933"/>
      <c r="C576" s="933"/>
      <c r="D576" s="933"/>
      <c r="E576" s="933"/>
      <c r="F576" s="933"/>
      <c r="G576" s="934"/>
      <c r="H576" s="934"/>
      <c r="I576" s="934"/>
      <c r="J576" s="934"/>
      <c r="K576" s="934"/>
    </row>
    <row r="577" spans="1:11" s="902" customFormat="1" ht="45.75">
      <c r="A577" s="979" t="s">
        <v>1489</v>
      </c>
      <c r="B577" s="979"/>
      <c r="C577" s="979"/>
      <c r="D577" s="979"/>
      <c r="E577" s="979"/>
      <c r="F577" s="979"/>
      <c r="G577" s="979"/>
      <c r="H577" s="979"/>
      <c r="I577" s="979"/>
      <c r="J577" s="979"/>
      <c r="K577" s="979"/>
    </row>
    <row r="578" spans="1:11" s="902" customFormat="1" ht="45.75">
      <c r="A578" s="933"/>
      <c r="B578" s="933"/>
      <c r="C578" s="933"/>
      <c r="D578" s="933"/>
      <c r="E578" s="933"/>
      <c r="F578" s="933"/>
      <c r="G578" s="934"/>
      <c r="H578" s="934"/>
      <c r="I578" s="934"/>
      <c r="J578" s="934"/>
      <c r="K578" s="934"/>
    </row>
    <row r="579" spans="1:11" s="902" customFormat="1" ht="45.75">
      <c r="A579" s="933"/>
      <c r="B579" s="933"/>
      <c r="C579" s="933"/>
      <c r="D579" s="933"/>
      <c r="E579" s="933"/>
      <c r="F579" s="933"/>
      <c r="G579" s="934"/>
      <c r="H579" s="934"/>
      <c r="I579" s="934"/>
      <c r="J579" s="934"/>
      <c r="K579" s="934"/>
    </row>
    <row r="580" spans="1:11" s="902" customFormat="1" ht="45.75">
      <c r="A580" s="979"/>
      <c r="B580" s="979"/>
      <c r="C580" s="979"/>
      <c r="D580" s="979"/>
      <c r="E580" s="979"/>
      <c r="F580" s="979"/>
      <c r="G580" s="979"/>
      <c r="H580" s="979"/>
      <c r="I580" s="979"/>
      <c r="J580" s="979"/>
      <c r="K580" s="979"/>
    </row>
    <row r="581" spans="1:11" s="902" customFormat="1" ht="45.75">
      <c r="A581" s="1067" t="s">
        <v>1381</v>
      </c>
      <c r="B581" s="1067"/>
      <c r="C581" s="1067"/>
      <c r="D581" s="1067"/>
      <c r="E581" s="1067"/>
      <c r="F581" s="1067"/>
      <c r="G581" s="1067"/>
      <c r="H581" s="1067"/>
      <c r="I581" s="1067"/>
      <c r="J581" s="1067"/>
      <c r="K581" s="1067"/>
    </row>
    <row r="582" spans="1:11" s="902" customFormat="1" ht="82.5" customHeight="1">
      <c r="A582" s="1111" t="s">
        <v>37</v>
      </c>
      <c r="B582" s="1112"/>
      <c r="C582" s="983" t="s">
        <v>178</v>
      </c>
      <c r="D582" s="983" t="s">
        <v>179</v>
      </c>
      <c r="E582" s="983" t="s">
        <v>1521</v>
      </c>
      <c r="F582" s="983" t="s">
        <v>14</v>
      </c>
      <c r="G582" s="983" t="s">
        <v>1515</v>
      </c>
      <c r="H582" s="983" t="s">
        <v>16</v>
      </c>
      <c r="I582" s="1108" t="s">
        <v>1490</v>
      </c>
      <c r="J582" s="1108" t="s">
        <v>2506</v>
      </c>
      <c r="K582" s="983" t="s">
        <v>200</v>
      </c>
    </row>
    <row r="583" spans="1:11" s="900" customFormat="1" ht="82.5" customHeight="1">
      <c r="A583" s="1113"/>
      <c r="B583" s="1114"/>
      <c r="C583" s="984"/>
      <c r="D583" s="984"/>
      <c r="E583" s="984"/>
      <c r="F583" s="984"/>
      <c r="G583" s="984"/>
      <c r="H583" s="984"/>
      <c r="I583" s="1108"/>
      <c r="J583" s="1108"/>
      <c r="K583" s="984"/>
    </row>
    <row r="584" spans="1:11" s="900" customFormat="1" ht="97.5" customHeight="1">
      <c r="A584" s="1109" t="s">
        <v>1805</v>
      </c>
      <c r="B584" s="1110"/>
      <c r="C584" s="921"/>
      <c r="D584" s="921"/>
      <c r="E584" s="922"/>
      <c r="F584" s="923"/>
      <c r="G584" s="924"/>
      <c r="H584" s="924"/>
      <c r="I584" s="920">
        <f>I585+I591+I593+I596</f>
        <v>241885.19999999998</v>
      </c>
      <c r="J584" s="920">
        <f>J585+J591+J593+J596</f>
        <v>139238.79999999999</v>
      </c>
      <c r="K584" s="920">
        <f>I584+J584</f>
        <v>381124</v>
      </c>
    </row>
    <row r="585" spans="1:11" s="902" customFormat="1" ht="97.5" customHeight="1">
      <c r="A585" s="1070" t="s">
        <v>1541</v>
      </c>
      <c r="B585" s="1071"/>
      <c r="C585" s="925"/>
      <c r="D585" s="925"/>
      <c r="E585" s="925"/>
      <c r="F585" s="931"/>
      <c r="G585" s="925"/>
      <c r="H585" s="926"/>
      <c r="I585" s="871">
        <f>SUM(I586:I590)</f>
        <v>21299.4</v>
      </c>
      <c r="J585" s="871">
        <f>SUM(J586:J590)</f>
        <v>14199.6</v>
      </c>
      <c r="K585" s="871">
        <f>I585+J585</f>
        <v>35499</v>
      </c>
    </row>
    <row r="586" spans="1:11" s="901" customFormat="1" ht="150" customHeight="1">
      <c r="A586" s="1068" t="s">
        <v>1806</v>
      </c>
      <c r="B586" s="1069"/>
      <c r="C586" s="928" t="s">
        <v>1813</v>
      </c>
      <c r="D586" s="928">
        <v>36</v>
      </c>
      <c r="E586" s="945" t="s">
        <v>1810</v>
      </c>
      <c r="F586" s="1044" t="s">
        <v>2229</v>
      </c>
      <c r="G586" s="1072">
        <v>8100</v>
      </c>
      <c r="H586" s="1075" t="s">
        <v>2273</v>
      </c>
      <c r="I586" s="873">
        <f>K586/100*60</f>
        <v>3600</v>
      </c>
      <c r="J586" s="873">
        <f>K586/100*40</f>
        <v>2400</v>
      </c>
      <c r="K586" s="873">
        <v>6000</v>
      </c>
    </row>
    <row r="587" spans="1:11" s="901" customFormat="1" ht="150" customHeight="1">
      <c r="A587" s="1068" t="s">
        <v>1807</v>
      </c>
      <c r="B587" s="1069"/>
      <c r="C587" s="928" t="s">
        <v>1814</v>
      </c>
      <c r="D587" s="928">
        <v>5</v>
      </c>
      <c r="E587" s="945" t="s">
        <v>1811</v>
      </c>
      <c r="F587" s="1045"/>
      <c r="G587" s="1073"/>
      <c r="H587" s="1076"/>
      <c r="I587" s="873">
        <f>K587/100*60</f>
        <v>1500</v>
      </c>
      <c r="J587" s="873">
        <f>K587/100*40</f>
        <v>1000</v>
      </c>
      <c r="K587" s="873">
        <v>2500</v>
      </c>
    </row>
    <row r="588" spans="1:11" s="901" customFormat="1" ht="150" customHeight="1">
      <c r="A588" s="1068" t="s">
        <v>506</v>
      </c>
      <c r="B588" s="1069"/>
      <c r="C588" s="928" t="s">
        <v>1816</v>
      </c>
      <c r="D588" s="946">
        <v>3</v>
      </c>
      <c r="E588" s="945" t="s">
        <v>1810</v>
      </c>
      <c r="F588" s="1046"/>
      <c r="G588" s="1073"/>
      <c r="H588" s="1076"/>
      <c r="I588" s="873">
        <f>K588/100*60</f>
        <v>3000</v>
      </c>
      <c r="J588" s="873">
        <f>K588/100*40</f>
        <v>2000</v>
      </c>
      <c r="K588" s="873">
        <v>5000</v>
      </c>
    </row>
    <row r="589" spans="1:11" s="901" customFormat="1" ht="150" customHeight="1">
      <c r="A589" s="1068" t="s">
        <v>1808</v>
      </c>
      <c r="B589" s="1069"/>
      <c r="C589" s="928" t="s">
        <v>1815</v>
      </c>
      <c r="D589" s="928">
        <v>1</v>
      </c>
      <c r="E589" s="945" t="s">
        <v>1812</v>
      </c>
      <c r="F589" s="1044" t="s">
        <v>2231</v>
      </c>
      <c r="G589" s="1073"/>
      <c r="H589" s="1076"/>
      <c r="I589" s="873">
        <f>K589/100*60</f>
        <v>4199.3999999999996</v>
      </c>
      <c r="J589" s="873">
        <f>K589/100*40</f>
        <v>2799.6</v>
      </c>
      <c r="K589" s="873">
        <v>6999</v>
      </c>
    </row>
    <row r="590" spans="1:11" s="901" customFormat="1" ht="150" customHeight="1">
      <c r="A590" s="1068" t="s">
        <v>1809</v>
      </c>
      <c r="B590" s="1069"/>
      <c r="C590" s="928" t="s">
        <v>1815</v>
      </c>
      <c r="D590" s="928">
        <v>3</v>
      </c>
      <c r="E590" s="945" t="s">
        <v>1812</v>
      </c>
      <c r="F590" s="1046"/>
      <c r="G590" s="1073"/>
      <c r="H590" s="1076"/>
      <c r="I590" s="873">
        <f>K590/100*60</f>
        <v>9000</v>
      </c>
      <c r="J590" s="873">
        <f>K590/100*40</f>
        <v>6000</v>
      </c>
      <c r="K590" s="873">
        <v>15000</v>
      </c>
    </row>
    <row r="591" spans="1:11" s="902" customFormat="1" ht="97.5" customHeight="1">
      <c r="A591" s="1070" t="s">
        <v>278</v>
      </c>
      <c r="B591" s="1071"/>
      <c r="C591" s="925"/>
      <c r="D591" s="925"/>
      <c r="E591" s="925"/>
      <c r="F591" s="931"/>
      <c r="G591" s="925"/>
      <c r="H591" s="926"/>
      <c r="I591" s="871">
        <f>SUM(I592)</f>
        <v>4800</v>
      </c>
      <c r="J591" s="871">
        <f>SUM(J592)</f>
        <v>3200</v>
      </c>
      <c r="K591" s="871">
        <f>I591+J591</f>
        <v>8000</v>
      </c>
    </row>
    <row r="592" spans="1:11" s="901" customFormat="1" ht="161.25" customHeight="1">
      <c r="A592" s="1068" t="s">
        <v>1817</v>
      </c>
      <c r="B592" s="1069"/>
      <c r="C592" s="928" t="s">
        <v>1215</v>
      </c>
      <c r="D592" s="928">
        <v>6</v>
      </c>
      <c r="E592" s="945" t="s">
        <v>1818</v>
      </c>
      <c r="F592" s="842" t="s">
        <v>2234</v>
      </c>
      <c r="G592" s="929">
        <v>8100</v>
      </c>
      <c r="H592" s="932" t="s">
        <v>2445</v>
      </c>
      <c r="I592" s="873">
        <f>K592/100*60</f>
        <v>4800</v>
      </c>
      <c r="J592" s="873">
        <f>K592/100*40</f>
        <v>3200</v>
      </c>
      <c r="K592" s="873">
        <v>8000</v>
      </c>
    </row>
    <row r="593" spans="1:13" s="902" customFormat="1" ht="97.5" customHeight="1">
      <c r="A593" s="1070" t="s">
        <v>312</v>
      </c>
      <c r="B593" s="1071"/>
      <c r="C593" s="925"/>
      <c r="D593" s="925"/>
      <c r="E593" s="925"/>
      <c r="F593" s="931"/>
      <c r="G593" s="925"/>
      <c r="H593" s="926"/>
      <c r="I593" s="871">
        <f>SUM(I594:I595)</f>
        <v>10500</v>
      </c>
      <c r="J593" s="871">
        <f>SUM(J594:J595)</f>
        <v>7000</v>
      </c>
      <c r="K593" s="871">
        <f>I593+J593</f>
        <v>17500</v>
      </c>
    </row>
    <row r="594" spans="1:13" s="901" customFormat="1" ht="161.25" customHeight="1">
      <c r="A594" s="1068" t="s">
        <v>1819</v>
      </c>
      <c r="B594" s="1069"/>
      <c r="C594" s="928" t="s">
        <v>1821</v>
      </c>
      <c r="D594" s="928">
        <v>3</v>
      </c>
      <c r="E594" s="945" t="s">
        <v>1810</v>
      </c>
      <c r="F594" s="1044" t="s">
        <v>2224</v>
      </c>
      <c r="G594" s="1072">
        <v>8100</v>
      </c>
      <c r="H594" s="1075" t="s">
        <v>2273</v>
      </c>
      <c r="I594" s="873">
        <f>K594/100*60</f>
        <v>3300</v>
      </c>
      <c r="J594" s="873">
        <f>K594/100*40</f>
        <v>2200</v>
      </c>
      <c r="K594" s="873">
        <v>5500</v>
      </c>
    </row>
    <row r="595" spans="1:13" s="901" customFormat="1" ht="161.25" customHeight="1">
      <c r="A595" s="1068" t="s">
        <v>1820</v>
      </c>
      <c r="B595" s="1069"/>
      <c r="C595" s="928" t="s">
        <v>1815</v>
      </c>
      <c r="D595" s="928">
        <v>2</v>
      </c>
      <c r="E595" s="945" t="s">
        <v>1812</v>
      </c>
      <c r="F595" s="1046"/>
      <c r="G595" s="1073"/>
      <c r="H595" s="1076"/>
      <c r="I595" s="873">
        <f>K595/100*60</f>
        <v>7200</v>
      </c>
      <c r="J595" s="873">
        <f>K595/100*40</f>
        <v>4800</v>
      </c>
      <c r="K595" s="873">
        <v>12000</v>
      </c>
    </row>
    <row r="596" spans="1:13" s="902" customFormat="1" ht="97.5" customHeight="1">
      <c r="A596" s="1070" t="s">
        <v>821</v>
      </c>
      <c r="B596" s="1071"/>
      <c r="C596" s="925"/>
      <c r="D596" s="925"/>
      <c r="E596" s="925"/>
      <c r="F596" s="931"/>
      <c r="G596" s="925"/>
      <c r="H596" s="926"/>
      <c r="I596" s="871">
        <f>SUM(I597:I611)</f>
        <v>205285.8</v>
      </c>
      <c r="J596" s="871">
        <f>SUM(J597:J611)</f>
        <v>114839.2</v>
      </c>
      <c r="K596" s="871">
        <f>I596+J596</f>
        <v>320125</v>
      </c>
    </row>
    <row r="597" spans="1:13" s="901" customFormat="1" ht="161.25" customHeight="1">
      <c r="A597" s="1068" t="s">
        <v>1831</v>
      </c>
      <c r="B597" s="1069"/>
      <c r="C597" s="928" t="s">
        <v>1827</v>
      </c>
      <c r="D597" s="928">
        <v>2</v>
      </c>
      <c r="E597" s="945" t="s">
        <v>1818</v>
      </c>
      <c r="F597" s="1044" t="s">
        <v>2244</v>
      </c>
      <c r="G597" s="1072">
        <v>8100</v>
      </c>
      <c r="H597" s="1075" t="s">
        <v>2274</v>
      </c>
      <c r="I597" s="873">
        <f t="shared" ref="I597:I607" si="21">K597/100*60</f>
        <v>4800</v>
      </c>
      <c r="J597" s="873">
        <f t="shared" ref="J597:J607" si="22">K597/100*40</f>
        <v>3200</v>
      </c>
      <c r="K597" s="873">
        <v>8000</v>
      </c>
    </row>
    <row r="598" spans="1:13" s="901" customFormat="1" ht="161.25" customHeight="1">
      <c r="A598" s="1068" t="s">
        <v>1832</v>
      </c>
      <c r="B598" s="1069"/>
      <c r="C598" s="928" t="s">
        <v>1827</v>
      </c>
      <c r="D598" s="928">
        <v>12</v>
      </c>
      <c r="E598" s="945" t="s">
        <v>1818</v>
      </c>
      <c r="F598" s="1046"/>
      <c r="G598" s="1073"/>
      <c r="H598" s="1076"/>
      <c r="I598" s="873">
        <f t="shared" si="21"/>
        <v>18000</v>
      </c>
      <c r="J598" s="873">
        <f t="shared" si="22"/>
        <v>12000</v>
      </c>
      <c r="K598" s="873">
        <v>30000</v>
      </c>
    </row>
    <row r="599" spans="1:13" s="901" customFormat="1" ht="161.25" customHeight="1">
      <c r="A599" s="1068" t="s">
        <v>1833</v>
      </c>
      <c r="B599" s="1069"/>
      <c r="C599" s="928" t="s">
        <v>1822</v>
      </c>
      <c r="D599" s="928">
        <v>6</v>
      </c>
      <c r="E599" s="945" t="s">
        <v>1823</v>
      </c>
      <c r="F599" s="1044" t="s">
        <v>2243</v>
      </c>
      <c r="G599" s="1072">
        <v>8100</v>
      </c>
      <c r="H599" s="1075" t="s">
        <v>2274</v>
      </c>
      <c r="I599" s="873">
        <f>36000-9568</f>
        <v>26432</v>
      </c>
      <c r="J599" s="873">
        <f>24000-1736</f>
        <v>22264</v>
      </c>
      <c r="K599" s="873">
        <f>I599+J599</f>
        <v>48696</v>
      </c>
    </row>
    <row r="600" spans="1:13" s="901" customFormat="1" ht="161.25" customHeight="1">
      <c r="A600" s="1068" t="s">
        <v>1834</v>
      </c>
      <c r="B600" s="1069"/>
      <c r="C600" s="928" t="s">
        <v>1824</v>
      </c>
      <c r="D600" s="928">
        <v>4</v>
      </c>
      <c r="E600" s="945" t="s">
        <v>1823</v>
      </c>
      <c r="F600" s="1045"/>
      <c r="G600" s="1073"/>
      <c r="H600" s="1076"/>
      <c r="I600" s="873">
        <f t="shared" si="21"/>
        <v>33000</v>
      </c>
      <c r="J600" s="873">
        <f t="shared" si="22"/>
        <v>22000</v>
      </c>
      <c r="K600" s="873">
        <v>55000</v>
      </c>
    </row>
    <row r="601" spans="1:13" s="901" customFormat="1" ht="161.25" customHeight="1">
      <c r="A601" s="1068" t="s">
        <v>1835</v>
      </c>
      <c r="B601" s="1069"/>
      <c r="C601" s="928" t="s">
        <v>1824</v>
      </c>
      <c r="D601" s="928">
        <v>4</v>
      </c>
      <c r="E601" s="945" t="s">
        <v>1823</v>
      </c>
      <c r="F601" s="1045"/>
      <c r="G601" s="1073"/>
      <c r="H601" s="1076"/>
      <c r="I601" s="873">
        <f t="shared" si="21"/>
        <v>15262.8</v>
      </c>
      <c r="J601" s="873">
        <f t="shared" si="22"/>
        <v>10175.200000000001</v>
      </c>
      <c r="K601" s="873">
        <v>25438</v>
      </c>
    </row>
    <row r="602" spans="1:13" s="901" customFormat="1" ht="161.25" customHeight="1">
      <c r="A602" s="1068" t="s">
        <v>1836</v>
      </c>
      <c r="B602" s="1069"/>
      <c r="C602" s="928" t="s">
        <v>1824</v>
      </c>
      <c r="D602" s="928">
        <v>4</v>
      </c>
      <c r="E602" s="945" t="s">
        <v>1823</v>
      </c>
      <c r="F602" s="1045"/>
      <c r="G602" s="1073"/>
      <c r="H602" s="1076"/>
      <c r="I602" s="873">
        <f t="shared" si="21"/>
        <v>12000</v>
      </c>
      <c r="J602" s="873">
        <f t="shared" si="22"/>
        <v>8000</v>
      </c>
      <c r="K602" s="873">
        <v>20000</v>
      </c>
      <c r="M602" s="901">
        <v>9568</v>
      </c>
    </row>
    <row r="603" spans="1:13" s="901" customFormat="1" ht="161.25" customHeight="1">
      <c r="A603" s="1068" t="s">
        <v>1606</v>
      </c>
      <c r="B603" s="1069"/>
      <c r="C603" s="928" t="s">
        <v>1824</v>
      </c>
      <c r="D603" s="928">
        <v>6</v>
      </c>
      <c r="E603" s="945" t="s">
        <v>1830</v>
      </c>
      <c r="F603" s="1046"/>
      <c r="G603" s="1074"/>
      <c r="H603" s="1076"/>
      <c r="I603" s="873">
        <f t="shared" si="21"/>
        <v>6000</v>
      </c>
      <c r="J603" s="873">
        <f t="shared" si="22"/>
        <v>4000</v>
      </c>
      <c r="K603" s="873">
        <v>10000</v>
      </c>
    </row>
    <row r="604" spans="1:13" s="901" customFormat="1" ht="161.25" customHeight="1">
      <c r="A604" s="1068" t="s">
        <v>1837</v>
      </c>
      <c r="B604" s="1069"/>
      <c r="C604" s="928" t="s">
        <v>1824</v>
      </c>
      <c r="D604" s="928">
        <v>4</v>
      </c>
      <c r="E604" s="945" t="s">
        <v>1830</v>
      </c>
      <c r="F604" s="1104" t="s">
        <v>2242</v>
      </c>
      <c r="G604" s="1072">
        <v>8100</v>
      </c>
      <c r="H604" s="1127" t="s">
        <v>2274</v>
      </c>
      <c r="I604" s="873">
        <f t="shared" si="21"/>
        <v>4800</v>
      </c>
      <c r="J604" s="873">
        <f t="shared" si="22"/>
        <v>3200</v>
      </c>
      <c r="K604" s="873">
        <v>8000</v>
      </c>
    </row>
    <row r="605" spans="1:13" s="901" customFormat="1" ht="161.25" customHeight="1">
      <c r="A605" s="1068" t="s">
        <v>1838</v>
      </c>
      <c r="B605" s="1069"/>
      <c r="C605" s="928" t="s">
        <v>1825</v>
      </c>
      <c r="D605" s="928">
        <v>18</v>
      </c>
      <c r="E605" s="945" t="s">
        <v>1830</v>
      </c>
      <c r="F605" s="1104"/>
      <c r="G605" s="1073"/>
      <c r="H605" s="1127"/>
      <c r="I605" s="873">
        <f t="shared" si="21"/>
        <v>6000</v>
      </c>
      <c r="J605" s="873">
        <f t="shared" si="22"/>
        <v>4000</v>
      </c>
      <c r="K605" s="873">
        <v>10000</v>
      </c>
    </row>
    <row r="606" spans="1:13" s="901" customFormat="1" ht="161.25" customHeight="1">
      <c r="A606" s="1068" t="s">
        <v>1839</v>
      </c>
      <c r="B606" s="1069"/>
      <c r="C606" s="928" t="s">
        <v>1826</v>
      </c>
      <c r="D606" s="928">
        <v>10</v>
      </c>
      <c r="E606" s="945" t="s">
        <v>1830</v>
      </c>
      <c r="F606" s="1104"/>
      <c r="G606" s="1073"/>
      <c r="H606" s="1127"/>
      <c r="I606" s="873">
        <f t="shared" si="21"/>
        <v>12000</v>
      </c>
      <c r="J606" s="873">
        <f t="shared" si="22"/>
        <v>8000</v>
      </c>
      <c r="K606" s="873">
        <v>20000</v>
      </c>
    </row>
    <row r="607" spans="1:13" s="901" customFormat="1" ht="161.25" customHeight="1">
      <c r="A607" s="1068" t="s">
        <v>1840</v>
      </c>
      <c r="B607" s="1069"/>
      <c r="C607" s="928" t="s">
        <v>1828</v>
      </c>
      <c r="D607" s="928">
        <v>12</v>
      </c>
      <c r="E607" s="945" t="s">
        <v>1812</v>
      </c>
      <c r="F607" s="1104"/>
      <c r="G607" s="1073"/>
      <c r="H607" s="1127"/>
      <c r="I607" s="873">
        <f t="shared" si="21"/>
        <v>27000</v>
      </c>
      <c r="J607" s="873">
        <f t="shared" si="22"/>
        <v>18000</v>
      </c>
      <c r="K607" s="873">
        <v>45000</v>
      </c>
    </row>
    <row r="608" spans="1:13" s="901" customFormat="1" ht="161.25" customHeight="1">
      <c r="A608" s="1118" t="s">
        <v>1841</v>
      </c>
      <c r="B608" s="1119"/>
      <c r="C608" s="935" t="s">
        <v>1824</v>
      </c>
      <c r="D608" s="935">
        <v>4</v>
      </c>
      <c r="E608" s="958" t="s">
        <v>1829</v>
      </c>
      <c r="F608" s="841" t="s">
        <v>2241</v>
      </c>
      <c r="G608" s="1074"/>
      <c r="H608" s="1127"/>
      <c r="I608" s="873">
        <v>31315</v>
      </c>
      <c r="J608" s="873"/>
      <c r="K608" s="873">
        <f>I608+J608</f>
        <v>31315</v>
      </c>
    </row>
    <row r="609" spans="1:11" s="901" customFormat="1" ht="41.25" customHeight="1">
      <c r="A609" s="959"/>
      <c r="B609" s="960"/>
      <c r="C609" s="935"/>
      <c r="D609" s="935"/>
      <c r="E609" s="958"/>
      <c r="F609" s="841"/>
      <c r="G609" s="954"/>
      <c r="H609" s="955"/>
      <c r="I609" s="873"/>
      <c r="J609" s="873"/>
      <c r="K609" s="873"/>
    </row>
    <row r="610" spans="1:11" s="901" customFormat="1" ht="161.25" customHeight="1">
      <c r="A610" s="1120" t="s">
        <v>2511</v>
      </c>
      <c r="B610" s="1121"/>
      <c r="C610" s="940"/>
      <c r="D610" s="940"/>
      <c r="E610" s="961"/>
      <c r="F610" s="819"/>
      <c r="G610" s="810"/>
      <c r="H610" s="810"/>
      <c r="I610" s="966">
        <v>7421</v>
      </c>
      <c r="J610" s="966"/>
      <c r="K610" s="966">
        <f>I610+J610</f>
        <v>7421</v>
      </c>
    </row>
    <row r="611" spans="1:11" s="901" customFormat="1" ht="161.25" customHeight="1">
      <c r="A611" s="1122" t="s">
        <v>2512</v>
      </c>
      <c r="B611" s="1123"/>
      <c r="C611" s="943"/>
      <c r="D611" s="943"/>
      <c r="E611" s="962"/>
      <c r="F611" s="819"/>
      <c r="G611" s="819"/>
      <c r="H611" s="819"/>
      <c r="I611" s="966">
        <v>1255</v>
      </c>
      <c r="J611" s="966"/>
      <c r="K611" s="966">
        <f>I611+J611</f>
        <v>1255</v>
      </c>
    </row>
    <row r="612" spans="1:11" s="902" customFormat="1" ht="97.5" customHeight="1">
      <c r="A612" s="1066" t="s">
        <v>2455</v>
      </c>
      <c r="B612" s="1066"/>
      <c r="C612" s="1066"/>
      <c r="D612" s="1066"/>
      <c r="E612" s="1066"/>
      <c r="F612" s="1066"/>
      <c r="G612" s="1066"/>
      <c r="H612" s="1066"/>
      <c r="I612" s="1066"/>
      <c r="J612" s="1066"/>
      <c r="K612" s="1066"/>
    </row>
    <row r="613" spans="1:11" s="902" customFormat="1" ht="45.75">
      <c r="A613" s="979" t="s">
        <v>2493</v>
      </c>
      <c r="B613" s="979"/>
      <c r="C613" s="979"/>
      <c r="D613" s="979"/>
      <c r="E613" s="979"/>
      <c r="F613" s="979"/>
      <c r="G613" s="979"/>
      <c r="H613" s="979"/>
      <c r="I613" s="979"/>
      <c r="J613" s="979"/>
      <c r="K613" s="979"/>
    </row>
    <row r="614" spans="1:11" s="902" customFormat="1" ht="45.75">
      <c r="A614" s="979" t="s">
        <v>52</v>
      </c>
      <c r="B614" s="979"/>
      <c r="C614" s="979"/>
      <c r="D614" s="979"/>
      <c r="E614" s="979"/>
      <c r="F614" s="979"/>
      <c r="G614" s="979"/>
      <c r="H614" s="979"/>
      <c r="I614" s="979"/>
      <c r="J614" s="979"/>
      <c r="K614" s="979"/>
    </row>
    <row r="615" spans="1:11" s="902" customFormat="1" ht="45.75">
      <c r="A615" s="1040" t="s">
        <v>50</v>
      </c>
      <c r="B615" s="1040"/>
      <c r="C615" s="1040"/>
      <c r="D615" s="1040"/>
      <c r="E615" s="1040"/>
      <c r="F615" s="1040"/>
      <c r="G615" s="1040"/>
      <c r="H615" s="1040"/>
      <c r="I615" s="1040"/>
      <c r="J615" s="1040"/>
      <c r="K615" s="1040"/>
    </row>
    <row r="616" spans="1:11" s="902" customFormat="1" ht="45.75">
      <c r="A616" s="933"/>
      <c r="B616" s="933"/>
      <c r="C616" s="933"/>
      <c r="D616" s="933"/>
      <c r="E616" s="933"/>
      <c r="F616" s="933"/>
      <c r="G616" s="934"/>
      <c r="H616" s="934"/>
      <c r="I616" s="934"/>
      <c r="J616" s="934"/>
      <c r="K616" s="934"/>
    </row>
    <row r="617" spans="1:11" s="902" customFormat="1" ht="45.75">
      <c r="A617" s="979" t="s">
        <v>1489</v>
      </c>
      <c r="B617" s="979"/>
      <c r="C617" s="979"/>
      <c r="D617" s="979"/>
      <c r="E617" s="979"/>
      <c r="F617" s="979"/>
      <c r="G617" s="979"/>
      <c r="H617" s="979"/>
      <c r="I617" s="979"/>
      <c r="J617" s="979"/>
      <c r="K617" s="979"/>
    </row>
    <row r="618" spans="1:11" s="902" customFormat="1" ht="45.75">
      <c r="A618" s="933"/>
      <c r="B618" s="933"/>
      <c r="C618" s="933"/>
      <c r="D618" s="933"/>
      <c r="E618" s="933"/>
      <c r="F618" s="933"/>
      <c r="G618" s="934"/>
      <c r="H618" s="934"/>
      <c r="I618" s="934"/>
      <c r="J618" s="934"/>
      <c r="K618" s="934"/>
    </row>
    <row r="619" spans="1:11" s="902" customFormat="1" ht="45.75">
      <c r="A619" s="933"/>
      <c r="B619" s="933"/>
      <c r="C619" s="933"/>
      <c r="D619" s="933"/>
      <c r="E619" s="933"/>
      <c r="F619" s="933"/>
      <c r="G619" s="934"/>
      <c r="H619" s="934"/>
      <c r="I619" s="934"/>
      <c r="J619" s="934"/>
      <c r="K619" s="934"/>
    </row>
    <row r="620" spans="1:11" s="902" customFormat="1" ht="45.75">
      <c r="A620" s="979"/>
      <c r="B620" s="979"/>
      <c r="C620" s="979"/>
      <c r="D620" s="979"/>
      <c r="E620" s="979"/>
      <c r="F620" s="979"/>
      <c r="G620" s="979"/>
      <c r="H620" s="979"/>
      <c r="I620" s="979"/>
      <c r="J620" s="979"/>
      <c r="K620" s="979"/>
    </row>
    <row r="621" spans="1:11" s="902" customFormat="1" ht="45.75">
      <c r="A621" s="1067" t="s">
        <v>1381</v>
      </c>
      <c r="B621" s="1067"/>
      <c r="C621" s="1067"/>
      <c r="D621" s="1067"/>
      <c r="E621" s="1067"/>
      <c r="F621" s="1067"/>
      <c r="G621" s="1067"/>
      <c r="H621" s="1067"/>
      <c r="I621" s="1067"/>
      <c r="J621" s="1067"/>
      <c r="K621" s="1067"/>
    </row>
    <row r="622" spans="1:11" s="902" customFormat="1" ht="82.5" customHeight="1">
      <c r="A622" s="1111" t="s">
        <v>37</v>
      </c>
      <c r="B622" s="1112"/>
      <c r="C622" s="983" t="s">
        <v>178</v>
      </c>
      <c r="D622" s="983" t="s">
        <v>179</v>
      </c>
      <c r="E622" s="983" t="s">
        <v>1521</v>
      </c>
      <c r="F622" s="983" t="s">
        <v>14</v>
      </c>
      <c r="G622" s="983" t="s">
        <v>1515</v>
      </c>
      <c r="H622" s="983" t="s">
        <v>16</v>
      </c>
      <c r="I622" s="1108" t="s">
        <v>1490</v>
      </c>
      <c r="J622" s="1108" t="s">
        <v>2506</v>
      </c>
      <c r="K622" s="983" t="s">
        <v>200</v>
      </c>
    </row>
    <row r="623" spans="1:11" s="900" customFormat="1" ht="82.5" customHeight="1">
      <c r="A623" s="1113"/>
      <c r="B623" s="1114"/>
      <c r="C623" s="984"/>
      <c r="D623" s="984"/>
      <c r="E623" s="984"/>
      <c r="F623" s="984"/>
      <c r="G623" s="984"/>
      <c r="H623" s="984"/>
      <c r="I623" s="1108"/>
      <c r="J623" s="1108"/>
      <c r="K623" s="984"/>
    </row>
    <row r="624" spans="1:11" s="900" customFormat="1" ht="97.5" customHeight="1">
      <c r="A624" s="1109" t="s">
        <v>1780</v>
      </c>
      <c r="B624" s="1110"/>
      <c r="C624" s="921"/>
      <c r="D624" s="921"/>
      <c r="E624" s="922"/>
      <c r="F624" s="923"/>
      <c r="G624" s="924"/>
      <c r="H624" s="924"/>
      <c r="I624" s="920">
        <f>I625+I632+I634</f>
        <v>69870.600000000006</v>
      </c>
      <c r="J624" s="920">
        <f>J625+J632+J634</f>
        <v>46580.4</v>
      </c>
      <c r="K624" s="920">
        <f>I624+J624</f>
        <v>116451</v>
      </c>
    </row>
    <row r="625" spans="1:11" s="902" customFormat="1" ht="97.5" customHeight="1">
      <c r="A625" s="1070" t="s">
        <v>1541</v>
      </c>
      <c r="B625" s="1071"/>
      <c r="C625" s="925"/>
      <c r="D625" s="925"/>
      <c r="E625" s="925"/>
      <c r="F625" s="931"/>
      <c r="G625" s="925"/>
      <c r="H625" s="926"/>
      <c r="I625" s="871">
        <f>SUM(I626:I631)</f>
        <v>59370.600000000006</v>
      </c>
      <c r="J625" s="871">
        <f>SUM(J626:J631)</f>
        <v>39580.400000000001</v>
      </c>
      <c r="K625" s="871">
        <f>I625+J625</f>
        <v>98951</v>
      </c>
    </row>
    <row r="626" spans="1:11" s="901" customFormat="1" ht="127.5" customHeight="1">
      <c r="A626" s="1068" t="s">
        <v>2245</v>
      </c>
      <c r="B626" s="1069"/>
      <c r="C626" s="928" t="s">
        <v>1785</v>
      </c>
      <c r="D626" s="928">
        <v>8</v>
      </c>
      <c r="E626" s="945" t="s">
        <v>1786</v>
      </c>
      <c r="F626" s="840" t="s">
        <v>2229</v>
      </c>
      <c r="G626" s="1072">
        <v>8100</v>
      </c>
      <c r="H626" s="1075" t="s">
        <v>2273</v>
      </c>
      <c r="I626" s="873">
        <f t="shared" ref="I626:I631" si="23">K626/100*60</f>
        <v>9000</v>
      </c>
      <c r="J626" s="873">
        <f t="shared" ref="J626:J631" si="24">K626/100*40</f>
        <v>6000</v>
      </c>
      <c r="K626" s="873">
        <v>15000</v>
      </c>
    </row>
    <row r="627" spans="1:11" s="901" customFormat="1" ht="127.5" customHeight="1">
      <c r="A627" s="1068" t="s">
        <v>1781</v>
      </c>
      <c r="B627" s="1069"/>
      <c r="C627" s="928" t="s">
        <v>1787</v>
      </c>
      <c r="D627" s="928">
        <v>3</v>
      </c>
      <c r="E627" s="945" t="s">
        <v>1788</v>
      </c>
      <c r="F627" s="840" t="s">
        <v>2230</v>
      </c>
      <c r="G627" s="1073"/>
      <c r="H627" s="1076"/>
      <c r="I627" s="873">
        <f t="shared" si="23"/>
        <v>34027.800000000003</v>
      </c>
      <c r="J627" s="873">
        <f t="shared" si="24"/>
        <v>22685.200000000001</v>
      </c>
      <c r="K627" s="873">
        <v>56713</v>
      </c>
    </row>
    <row r="628" spans="1:11" s="901" customFormat="1" ht="127.5" customHeight="1">
      <c r="A628" s="1068" t="s">
        <v>1782</v>
      </c>
      <c r="B628" s="1069"/>
      <c r="C628" s="928" t="s">
        <v>1789</v>
      </c>
      <c r="D628" s="946">
        <v>4</v>
      </c>
      <c r="E628" s="945" t="s">
        <v>1790</v>
      </c>
      <c r="F628" s="1044" t="s">
        <v>2231</v>
      </c>
      <c r="G628" s="1073"/>
      <c r="H628" s="1076"/>
      <c r="I628" s="873">
        <f t="shared" si="23"/>
        <v>4200</v>
      </c>
      <c r="J628" s="873">
        <f t="shared" si="24"/>
        <v>2800</v>
      </c>
      <c r="K628" s="873">
        <v>7000</v>
      </c>
    </row>
    <row r="629" spans="1:11" s="901" customFormat="1" ht="127.5" customHeight="1">
      <c r="A629" s="1068" t="s">
        <v>1783</v>
      </c>
      <c r="B629" s="1069"/>
      <c r="C629" s="928" t="s">
        <v>1791</v>
      </c>
      <c r="D629" s="928">
        <v>12</v>
      </c>
      <c r="E629" s="945" t="s">
        <v>1792</v>
      </c>
      <c r="F629" s="1045"/>
      <c r="G629" s="1073"/>
      <c r="H629" s="1076"/>
      <c r="I629" s="873">
        <f t="shared" si="23"/>
        <v>2542.8000000000002</v>
      </c>
      <c r="J629" s="873">
        <f t="shared" si="24"/>
        <v>1695.2</v>
      </c>
      <c r="K629" s="873">
        <v>4238</v>
      </c>
    </row>
    <row r="630" spans="1:11" s="901" customFormat="1" ht="127.5" customHeight="1">
      <c r="A630" s="1068" t="s">
        <v>1784</v>
      </c>
      <c r="B630" s="1069"/>
      <c r="C630" s="928" t="s">
        <v>1791</v>
      </c>
      <c r="D630" s="928">
        <v>10</v>
      </c>
      <c r="E630" s="945" t="s">
        <v>1793</v>
      </c>
      <c r="F630" s="1045"/>
      <c r="G630" s="1073"/>
      <c r="H630" s="1076"/>
      <c r="I630" s="873">
        <f t="shared" si="23"/>
        <v>2400</v>
      </c>
      <c r="J630" s="873">
        <f t="shared" si="24"/>
        <v>1600</v>
      </c>
      <c r="K630" s="873">
        <v>4000</v>
      </c>
    </row>
    <row r="631" spans="1:11" s="901" customFormat="1" ht="127.5" customHeight="1">
      <c r="A631" s="1068" t="s">
        <v>1496</v>
      </c>
      <c r="B631" s="1069"/>
      <c r="C631" s="928" t="s">
        <v>1794</v>
      </c>
      <c r="D631" s="928">
        <v>20</v>
      </c>
      <c r="E631" s="945" t="s">
        <v>1795</v>
      </c>
      <c r="F631" s="1046"/>
      <c r="G631" s="1073"/>
      <c r="H631" s="1076"/>
      <c r="I631" s="873">
        <f t="shared" si="23"/>
        <v>7200</v>
      </c>
      <c r="J631" s="873">
        <f t="shared" si="24"/>
        <v>4800</v>
      </c>
      <c r="K631" s="873">
        <v>12000</v>
      </c>
    </row>
    <row r="632" spans="1:11" s="902" customFormat="1" ht="97.5" customHeight="1">
      <c r="A632" s="1070" t="s">
        <v>278</v>
      </c>
      <c r="B632" s="1071"/>
      <c r="C632" s="925"/>
      <c r="D632" s="925"/>
      <c r="E632" s="925"/>
      <c r="F632" s="931"/>
      <c r="G632" s="925"/>
      <c r="H632" s="926"/>
      <c r="I632" s="871">
        <f>SUM(I633)</f>
        <v>3000</v>
      </c>
      <c r="J632" s="871">
        <f>SUM(J633)</f>
        <v>2000</v>
      </c>
      <c r="K632" s="871">
        <f>I632+J632</f>
        <v>5000</v>
      </c>
    </row>
    <row r="633" spans="1:11" s="901" customFormat="1" ht="127.5" customHeight="1">
      <c r="A633" s="1068" t="s">
        <v>1796</v>
      </c>
      <c r="B633" s="1069"/>
      <c r="C633" s="928" t="s">
        <v>18</v>
      </c>
      <c r="D633" s="928">
        <v>10</v>
      </c>
      <c r="E633" s="945" t="s">
        <v>1797</v>
      </c>
      <c r="F633" s="842" t="s">
        <v>2234</v>
      </c>
      <c r="G633" s="929">
        <v>8100</v>
      </c>
      <c r="H633" s="932" t="s">
        <v>2445</v>
      </c>
      <c r="I633" s="873">
        <f>K633/100*60</f>
        <v>3000</v>
      </c>
      <c r="J633" s="873">
        <f>K633/100*40</f>
        <v>2000</v>
      </c>
      <c r="K633" s="873">
        <v>5000</v>
      </c>
    </row>
    <row r="634" spans="1:11" s="902" customFormat="1" ht="97.5" customHeight="1">
      <c r="A634" s="1070" t="s">
        <v>312</v>
      </c>
      <c r="B634" s="1071"/>
      <c r="C634" s="925"/>
      <c r="D634" s="925"/>
      <c r="E634" s="925"/>
      <c r="F634" s="931"/>
      <c r="G634" s="925"/>
      <c r="H634" s="926"/>
      <c r="I634" s="871">
        <f>SUM(I635:I636)</f>
        <v>7500</v>
      </c>
      <c r="J634" s="871">
        <f>SUM(J635:J636)</f>
        <v>5000</v>
      </c>
      <c r="K634" s="871">
        <f>I634+J634</f>
        <v>12500</v>
      </c>
    </row>
    <row r="635" spans="1:11" s="901" customFormat="1" ht="127.5" customHeight="1">
      <c r="A635" s="1068" t="s">
        <v>1798</v>
      </c>
      <c r="B635" s="1069"/>
      <c r="C635" s="928" t="s">
        <v>138</v>
      </c>
      <c r="D635" s="928">
        <v>10</v>
      </c>
      <c r="E635" s="945" t="s">
        <v>1800</v>
      </c>
      <c r="F635" s="1044" t="s">
        <v>2224</v>
      </c>
      <c r="G635" s="1072">
        <v>8100</v>
      </c>
      <c r="H635" s="1075" t="s">
        <v>2273</v>
      </c>
      <c r="I635" s="873">
        <f>K635/100*60</f>
        <v>3000</v>
      </c>
      <c r="J635" s="873">
        <f>K635/100*40</f>
        <v>2000</v>
      </c>
      <c r="K635" s="873">
        <v>5000</v>
      </c>
    </row>
    <row r="636" spans="1:11" s="901" customFormat="1" ht="127.5" customHeight="1">
      <c r="A636" s="1129" t="s">
        <v>1799</v>
      </c>
      <c r="B636" s="1130"/>
      <c r="C636" s="963" t="s">
        <v>1801</v>
      </c>
      <c r="D636" s="963">
        <v>1</v>
      </c>
      <c r="E636" s="964" t="s">
        <v>1802</v>
      </c>
      <c r="F636" s="1045"/>
      <c r="G636" s="1073"/>
      <c r="H636" s="1076"/>
      <c r="I636" s="967">
        <f>K636/100*60</f>
        <v>4500</v>
      </c>
      <c r="J636" s="967">
        <f>K636/100*40</f>
        <v>3000</v>
      </c>
      <c r="K636" s="967">
        <v>7500</v>
      </c>
    </row>
    <row r="637" spans="1:11" s="902" customFormat="1" ht="75" customHeight="1">
      <c r="A637" s="1133" t="s">
        <v>2455</v>
      </c>
      <c r="B637" s="1133"/>
      <c r="C637" s="1134"/>
      <c r="D637" s="1134"/>
      <c r="E637" s="1134"/>
      <c r="F637" s="1134"/>
      <c r="G637" s="1134"/>
      <c r="H637" s="1134"/>
      <c r="I637" s="1134"/>
      <c r="J637" s="965"/>
      <c r="K637" s="965"/>
    </row>
    <row r="638" spans="1:11" s="902" customFormat="1" ht="52.5" customHeight="1">
      <c r="A638" s="1131" t="s">
        <v>2456</v>
      </c>
      <c r="B638" s="1131"/>
      <c r="C638" s="1131"/>
      <c r="D638" s="1131"/>
      <c r="E638" s="1131"/>
      <c r="F638" s="1131"/>
      <c r="G638" s="1131"/>
      <c r="H638" s="1131"/>
      <c r="I638" s="1131"/>
      <c r="J638" s="1131"/>
      <c r="K638" s="1131"/>
    </row>
    <row r="639" spans="1:11" ht="96.75" hidden="1" customHeight="1">
      <c r="A639" s="753"/>
      <c r="B639" s="753"/>
      <c r="C639" s="753"/>
      <c r="D639" s="753"/>
      <c r="E639" s="753"/>
      <c r="F639" s="753"/>
      <c r="G639" s="753"/>
      <c r="H639" s="753"/>
      <c r="I639" s="753"/>
      <c r="J639" s="753"/>
      <c r="K639" s="753"/>
    </row>
    <row r="640" spans="1:11" ht="96.75" hidden="1" customHeight="1">
      <c r="A640" s="753"/>
      <c r="B640" s="753"/>
      <c r="C640" s="753"/>
      <c r="D640" s="753"/>
      <c r="E640" s="753"/>
      <c r="F640" s="753"/>
      <c r="G640" s="753"/>
      <c r="H640" s="753"/>
      <c r="I640" s="753"/>
      <c r="J640" s="753"/>
      <c r="K640" s="753"/>
    </row>
    <row r="641" spans="1:11" ht="96.75" hidden="1" customHeight="1">
      <c r="A641" s="753"/>
      <c r="B641" s="753"/>
      <c r="C641" s="753"/>
      <c r="D641" s="753"/>
      <c r="E641" s="753"/>
      <c r="F641" s="753"/>
      <c r="G641" s="753"/>
      <c r="H641" s="753"/>
      <c r="I641" s="753"/>
      <c r="J641" s="753"/>
      <c r="K641" s="753"/>
    </row>
    <row r="642" spans="1:11" ht="96.75" hidden="1" customHeight="1">
      <c r="A642" s="753"/>
      <c r="B642" s="753"/>
      <c r="C642" s="753"/>
      <c r="D642" s="753"/>
      <c r="E642" s="753"/>
      <c r="F642" s="753"/>
      <c r="G642" s="753"/>
      <c r="H642" s="753"/>
      <c r="I642" s="753"/>
      <c r="J642" s="753"/>
      <c r="K642" s="753"/>
    </row>
    <row r="643" spans="1:11" ht="96.75" hidden="1" customHeight="1">
      <c r="A643" s="753"/>
      <c r="B643" s="753"/>
      <c r="C643" s="753"/>
      <c r="D643" s="753"/>
      <c r="E643" s="753"/>
      <c r="F643" s="753"/>
      <c r="G643" s="753"/>
      <c r="H643" s="753"/>
      <c r="I643" s="753"/>
      <c r="J643" s="753"/>
      <c r="K643" s="753"/>
    </row>
    <row r="644" spans="1:11" ht="96.75" hidden="1" customHeight="1">
      <c r="A644" s="753"/>
      <c r="B644" s="753"/>
      <c r="C644" s="753"/>
      <c r="D644" s="753"/>
      <c r="E644" s="753"/>
      <c r="F644" s="753"/>
      <c r="G644" s="753"/>
      <c r="H644" s="753"/>
      <c r="I644" s="753"/>
      <c r="J644" s="753"/>
      <c r="K644" s="753"/>
    </row>
    <row r="645" spans="1:11" ht="96.75" hidden="1" customHeight="1">
      <c r="A645" s="753"/>
      <c r="B645" s="753"/>
      <c r="C645" s="753"/>
      <c r="D645" s="753"/>
      <c r="E645" s="753"/>
      <c r="F645" s="753"/>
      <c r="G645" s="753"/>
      <c r="H645" s="753"/>
      <c r="I645" s="753"/>
      <c r="J645" s="753"/>
      <c r="K645" s="753"/>
    </row>
    <row r="646" spans="1:11" ht="96.75" hidden="1" customHeight="1">
      <c r="A646" s="753"/>
      <c r="B646" s="753"/>
      <c r="C646" s="753"/>
      <c r="D646" s="753"/>
      <c r="E646" s="753"/>
      <c r="F646" s="753"/>
      <c r="G646" s="753"/>
      <c r="H646" s="753"/>
      <c r="I646" s="753"/>
      <c r="J646" s="753"/>
      <c r="K646" s="753"/>
    </row>
    <row r="647" spans="1:11" ht="96.75" hidden="1" customHeight="1">
      <c r="A647" s="753"/>
      <c r="B647" s="753"/>
      <c r="C647" s="753"/>
      <c r="D647" s="753"/>
      <c r="E647" s="753"/>
      <c r="F647" s="753"/>
      <c r="G647" s="753"/>
      <c r="H647" s="753"/>
      <c r="I647" s="753"/>
      <c r="J647" s="753"/>
      <c r="K647" s="753"/>
    </row>
    <row r="648" spans="1:11" ht="96.75" hidden="1" customHeight="1">
      <c r="A648" s="753"/>
      <c r="B648" s="753"/>
      <c r="C648" s="753"/>
      <c r="D648" s="753"/>
      <c r="E648" s="753"/>
      <c r="F648" s="753"/>
      <c r="G648" s="753"/>
      <c r="H648" s="753"/>
      <c r="I648" s="753"/>
      <c r="J648" s="753"/>
      <c r="K648" s="753"/>
    </row>
    <row r="649" spans="1:11" ht="96.75" hidden="1" customHeight="1">
      <c r="A649" s="753"/>
      <c r="B649" s="753"/>
      <c r="C649" s="753"/>
      <c r="D649" s="753"/>
      <c r="E649" s="753"/>
      <c r="F649" s="753"/>
      <c r="G649" s="753"/>
      <c r="H649" s="753"/>
      <c r="I649" s="753"/>
      <c r="J649" s="753"/>
      <c r="K649" s="753"/>
    </row>
    <row r="650" spans="1:11" ht="96.75" hidden="1" customHeight="1">
      <c r="A650" s="753"/>
      <c r="B650" s="753"/>
      <c r="C650" s="753"/>
      <c r="D650" s="753"/>
      <c r="E650" s="753"/>
      <c r="F650" s="753"/>
      <c r="G650" s="753"/>
      <c r="H650" s="753"/>
      <c r="I650" s="753"/>
      <c r="J650" s="753"/>
      <c r="K650" s="753"/>
    </row>
    <row r="651" spans="1:11" ht="96.75" hidden="1" customHeight="1">
      <c r="A651" s="753"/>
      <c r="B651" s="753"/>
      <c r="C651" s="753"/>
      <c r="D651" s="753"/>
      <c r="E651" s="753"/>
      <c r="F651" s="753"/>
      <c r="G651" s="753"/>
      <c r="H651" s="753"/>
      <c r="I651" s="753"/>
      <c r="J651" s="753"/>
      <c r="K651" s="753"/>
    </row>
    <row r="652" spans="1:11" ht="34.5" hidden="1" customHeight="1">
      <c r="A652" s="1128" t="s">
        <v>51</v>
      </c>
      <c r="B652" s="1128"/>
      <c r="C652" s="1128"/>
      <c r="D652" s="1128"/>
      <c r="E652" s="1128"/>
      <c r="F652" s="1128"/>
      <c r="G652" s="1128"/>
      <c r="H652" s="1128"/>
      <c r="I652" s="1128"/>
      <c r="J652" s="1128"/>
      <c r="K652" s="1128"/>
    </row>
    <row r="653" spans="1:11" ht="30.75" hidden="1" customHeight="1">
      <c r="A653" s="1128" t="s">
        <v>52</v>
      </c>
      <c r="B653" s="1128"/>
      <c r="C653" s="1128"/>
      <c r="D653" s="1128"/>
      <c r="E653" s="1128"/>
      <c r="F653" s="1128"/>
      <c r="G653" s="1128"/>
      <c r="H653" s="1128"/>
      <c r="I653" s="1128"/>
      <c r="J653" s="1128"/>
      <c r="K653" s="1128"/>
    </row>
    <row r="654" spans="1:11" ht="33" hidden="1" customHeight="1">
      <c r="A654" s="1132" t="s">
        <v>50</v>
      </c>
      <c r="B654" s="1132"/>
      <c r="C654" s="1132"/>
      <c r="D654" s="1132"/>
      <c r="E654" s="1132"/>
      <c r="F654" s="1132"/>
      <c r="G654" s="1132"/>
      <c r="H654" s="1132"/>
      <c r="I654" s="1132"/>
      <c r="J654" s="1132"/>
      <c r="K654" s="1132"/>
    </row>
    <row r="655" spans="1:11" ht="33" hidden="1" customHeight="1">
      <c r="A655" s="154"/>
      <c r="B655" s="154"/>
      <c r="C655" s="154"/>
      <c r="D655" s="154"/>
      <c r="E655" s="154"/>
      <c r="F655" s="154"/>
      <c r="G655" s="707"/>
      <c r="H655" s="707"/>
      <c r="I655" s="707"/>
      <c r="J655" s="707"/>
      <c r="K655" s="707"/>
    </row>
    <row r="656" spans="1:11" ht="35.25" hidden="1">
      <c r="A656" s="1128" t="s">
        <v>1336</v>
      </c>
      <c r="B656" s="1128"/>
      <c r="C656" s="1128"/>
      <c r="D656" s="1128"/>
      <c r="E656" s="1128"/>
      <c r="F656" s="1128"/>
      <c r="G656" s="1128"/>
      <c r="H656" s="1128"/>
      <c r="I656" s="1128"/>
      <c r="J656" s="1128"/>
      <c r="K656" s="1128"/>
    </row>
    <row r="657" spans="1:11" s="620" customFormat="1" ht="33" hidden="1">
      <c r="A657" s="65"/>
      <c r="B657" s="65"/>
      <c r="C657" s="65"/>
      <c r="D657" s="65"/>
      <c r="E657" s="65"/>
      <c r="F657" s="65"/>
      <c r="G657" s="68"/>
      <c r="H657" s="68"/>
      <c r="I657" s="68"/>
      <c r="J657" s="68"/>
      <c r="K657" s="68"/>
    </row>
    <row r="658" spans="1:11" ht="20.100000000000001" hidden="1" customHeight="1">
      <c r="A658" s="65"/>
      <c r="B658" s="65"/>
      <c r="C658" s="65"/>
      <c r="D658" s="65"/>
      <c r="E658" s="65"/>
      <c r="F658" s="65"/>
      <c r="G658" s="68"/>
      <c r="H658" s="68"/>
      <c r="I658" s="68"/>
      <c r="J658" s="68"/>
      <c r="K658" s="68"/>
    </row>
    <row r="659" spans="1:11" ht="20.100000000000001" hidden="1" customHeight="1">
      <c r="A659" s="979"/>
      <c r="B659" s="979"/>
      <c r="C659" s="979"/>
      <c r="D659" s="979"/>
      <c r="E659" s="979"/>
      <c r="F659" s="979"/>
      <c r="G659" s="979"/>
      <c r="H659" s="979"/>
      <c r="I659" s="979"/>
      <c r="J659" s="979"/>
      <c r="K659" s="979"/>
    </row>
    <row r="660" spans="1:11" ht="45.75" hidden="1" customHeight="1">
      <c r="A660" s="1030" t="s">
        <v>1382</v>
      </c>
      <c r="B660" s="1030"/>
      <c r="C660" s="1030"/>
      <c r="D660" s="1030"/>
      <c r="E660" s="1030"/>
      <c r="F660" s="1030"/>
      <c r="G660" s="1030"/>
      <c r="H660" s="1030"/>
      <c r="I660" s="1030"/>
      <c r="J660" s="1030"/>
      <c r="K660" s="1030"/>
    </row>
    <row r="661" spans="1:11" ht="66" hidden="1" customHeight="1">
      <c r="A661" s="1031" t="s">
        <v>37</v>
      </c>
      <c r="B661" s="1033"/>
      <c r="C661" s="1037" t="s">
        <v>178</v>
      </c>
      <c r="D661" s="1037" t="s">
        <v>179</v>
      </c>
      <c r="E661" s="1037" t="s">
        <v>1521</v>
      </c>
      <c r="F661" s="1037" t="s">
        <v>14</v>
      </c>
      <c r="G661" s="1037" t="s">
        <v>1515</v>
      </c>
      <c r="H661" s="1037" t="s">
        <v>16</v>
      </c>
      <c r="I661" s="1039" t="s">
        <v>1490</v>
      </c>
      <c r="J661" s="1039" t="s">
        <v>2203</v>
      </c>
      <c r="K661" s="1037" t="s">
        <v>200</v>
      </c>
    </row>
    <row r="662" spans="1:11" s="500" customFormat="1" ht="30" hidden="1">
      <c r="A662" s="1034"/>
      <c r="B662" s="1036"/>
      <c r="C662" s="1038"/>
      <c r="D662" s="1038"/>
      <c r="E662" s="1038"/>
      <c r="F662" s="1038"/>
      <c r="G662" s="1038"/>
      <c r="H662" s="1038"/>
      <c r="I662" s="1039"/>
      <c r="J662" s="1039"/>
      <c r="K662" s="1038"/>
    </row>
    <row r="663" spans="1:11" s="500" customFormat="1" ht="74.25" hidden="1" customHeight="1">
      <c r="A663" s="1137" t="s">
        <v>1970</v>
      </c>
      <c r="B663" s="1138"/>
      <c r="C663" s="729"/>
      <c r="D663" s="729"/>
      <c r="E663" s="726"/>
      <c r="F663" s="727"/>
      <c r="G663" s="728"/>
      <c r="H663" s="728"/>
      <c r="I663" s="642">
        <f>I664+I671+I669</f>
        <v>108133.20000000001</v>
      </c>
      <c r="J663" s="642">
        <f>J664+J671+J669</f>
        <v>72088.799999999988</v>
      </c>
      <c r="K663" s="642">
        <f>I663+J663</f>
        <v>180222</v>
      </c>
    </row>
    <row r="664" spans="1:11" ht="75" hidden="1" customHeight="1">
      <c r="A664" s="1011" t="s">
        <v>1541</v>
      </c>
      <c r="B664" s="1013"/>
      <c r="C664" s="709"/>
      <c r="D664" s="709"/>
      <c r="E664" s="709"/>
      <c r="F664" s="708"/>
      <c r="G664" s="709"/>
      <c r="H664" s="710"/>
      <c r="I664" s="545">
        <f>SUM(I665:I668)</f>
        <v>33599.4</v>
      </c>
      <c r="J664" s="545">
        <f>SUM(J665:J668)</f>
        <v>22399.599999999999</v>
      </c>
      <c r="K664" s="545">
        <f>I664+J664</f>
        <v>55999</v>
      </c>
    </row>
    <row r="665" spans="1:11" s="510" customFormat="1" ht="75" hidden="1" customHeight="1">
      <c r="A665" s="1020" t="s">
        <v>1972</v>
      </c>
      <c r="B665" s="1022"/>
      <c r="C665" s="714" t="s">
        <v>1976</v>
      </c>
      <c r="D665" s="714">
        <v>17</v>
      </c>
      <c r="E665" s="714" t="s">
        <v>1977</v>
      </c>
      <c r="F665" s="829" t="s">
        <v>2246</v>
      </c>
      <c r="G665" s="1047">
        <v>8100</v>
      </c>
      <c r="H665" s="1099" t="s">
        <v>2273</v>
      </c>
      <c r="I665" s="717">
        <f>K665/100*60</f>
        <v>15300</v>
      </c>
      <c r="J665" s="717">
        <f>K665/100*40</f>
        <v>10200</v>
      </c>
      <c r="K665" s="717">
        <v>25500</v>
      </c>
    </row>
    <row r="666" spans="1:11" s="510" customFormat="1" ht="75" hidden="1" customHeight="1">
      <c r="A666" s="1020" t="s">
        <v>1606</v>
      </c>
      <c r="B666" s="1022"/>
      <c r="C666" s="714" t="s">
        <v>1623</v>
      </c>
      <c r="D666" s="714">
        <v>50</v>
      </c>
      <c r="E666" s="714" t="s">
        <v>1978</v>
      </c>
      <c r="F666" s="829" t="s">
        <v>2247</v>
      </c>
      <c r="G666" s="1048"/>
      <c r="H666" s="1100"/>
      <c r="I666" s="717">
        <f>K666/100*60</f>
        <v>7799.4000000000005</v>
      </c>
      <c r="J666" s="717">
        <f>K666/100*40</f>
        <v>5199.6000000000004</v>
      </c>
      <c r="K666" s="717">
        <v>12999</v>
      </c>
    </row>
    <row r="667" spans="1:11" s="510" customFormat="1" ht="75" hidden="1" customHeight="1">
      <c r="A667" s="1020" t="s">
        <v>1973</v>
      </c>
      <c r="B667" s="1022"/>
      <c r="C667" s="714" t="s">
        <v>1934</v>
      </c>
      <c r="D667" s="714">
        <v>22</v>
      </c>
      <c r="E667" s="714" t="s">
        <v>1979</v>
      </c>
      <c r="F667" s="1104" t="s">
        <v>2248</v>
      </c>
      <c r="G667" s="1048"/>
      <c r="H667" s="1100"/>
      <c r="I667" s="717">
        <f>K667/100*60</f>
        <v>9600</v>
      </c>
      <c r="J667" s="717">
        <f>K667/100*40</f>
        <v>6400</v>
      </c>
      <c r="K667" s="717">
        <v>16000</v>
      </c>
    </row>
    <row r="668" spans="1:11" s="510" customFormat="1" ht="75" hidden="1" customHeight="1">
      <c r="A668" s="1020" t="s">
        <v>1974</v>
      </c>
      <c r="B668" s="1022"/>
      <c r="C668" s="714" t="s">
        <v>1863</v>
      </c>
      <c r="D668" s="714">
        <v>1</v>
      </c>
      <c r="E668" s="714" t="s">
        <v>1979</v>
      </c>
      <c r="F668" s="1104"/>
      <c r="G668" s="1048"/>
      <c r="H668" s="1100"/>
      <c r="I668" s="717">
        <f>K668/100*60</f>
        <v>900</v>
      </c>
      <c r="J668" s="717">
        <f>K668/100*40</f>
        <v>600</v>
      </c>
      <c r="K668" s="717">
        <v>1500</v>
      </c>
    </row>
    <row r="669" spans="1:11" ht="73.5" hidden="1" customHeight="1">
      <c r="A669" s="1011" t="s">
        <v>278</v>
      </c>
      <c r="B669" s="1013"/>
      <c r="C669" s="709"/>
      <c r="D669" s="709"/>
      <c r="E669" s="709"/>
      <c r="F669" s="708"/>
      <c r="G669" s="709"/>
      <c r="H669" s="710"/>
      <c r="I669" s="545">
        <f>SUM(I670:I670)</f>
        <v>3000</v>
      </c>
      <c r="J669" s="545">
        <f>SUM(J670:J670)</f>
        <v>2000</v>
      </c>
      <c r="K669" s="545">
        <f>I669+J669</f>
        <v>5000</v>
      </c>
    </row>
    <row r="670" spans="1:11" s="510" customFormat="1" ht="74.25" hidden="1" customHeight="1">
      <c r="A670" s="1020" t="s">
        <v>1971</v>
      </c>
      <c r="B670" s="1022"/>
      <c r="C670" s="714" t="s">
        <v>1215</v>
      </c>
      <c r="D670" s="714">
        <v>6</v>
      </c>
      <c r="E670" s="714" t="s">
        <v>1980</v>
      </c>
      <c r="F670" s="833" t="s">
        <v>2235</v>
      </c>
      <c r="G670" s="827">
        <v>8100</v>
      </c>
      <c r="H670" s="834" t="s">
        <v>2445</v>
      </c>
      <c r="I670" s="717">
        <f>K670/100*60</f>
        <v>3000</v>
      </c>
      <c r="J670" s="717">
        <f>K670/100*40</f>
        <v>2000</v>
      </c>
      <c r="K670" s="717">
        <v>5000</v>
      </c>
    </row>
    <row r="671" spans="1:11" ht="73.5" hidden="1" customHeight="1">
      <c r="A671" s="1011" t="s">
        <v>307</v>
      </c>
      <c r="B671" s="1013"/>
      <c r="C671" s="709"/>
      <c r="D671" s="709"/>
      <c r="E671" s="709"/>
      <c r="F671" s="708"/>
      <c r="G671" s="709"/>
      <c r="H671" s="710"/>
      <c r="I671" s="545">
        <f>SUM(I672:I672)</f>
        <v>71533.8</v>
      </c>
      <c r="J671" s="545">
        <f>SUM(J672:J672)</f>
        <v>47689.2</v>
      </c>
      <c r="K671" s="545">
        <f>I671+J671</f>
        <v>119223</v>
      </c>
    </row>
    <row r="672" spans="1:11" s="510" customFormat="1" ht="74.25" hidden="1" customHeight="1">
      <c r="A672" s="1020" t="s">
        <v>1975</v>
      </c>
      <c r="B672" s="1022"/>
      <c r="C672" s="714" t="s">
        <v>147</v>
      </c>
      <c r="D672" s="744">
        <v>1138</v>
      </c>
      <c r="E672" s="714" t="s">
        <v>1981</v>
      </c>
      <c r="F672" s="829" t="s">
        <v>1183</v>
      </c>
      <c r="G672" s="827">
        <v>8100</v>
      </c>
      <c r="H672" s="828" t="s">
        <v>2273</v>
      </c>
      <c r="I672" s="717">
        <f>K672/100*60</f>
        <v>71533.8</v>
      </c>
      <c r="J672" s="717">
        <f>K672/100*40</f>
        <v>47689.2</v>
      </c>
      <c r="K672" s="717">
        <v>119223</v>
      </c>
    </row>
    <row r="673" spans="1:11" s="743" customFormat="1" ht="36.75" hidden="1" customHeight="1">
      <c r="A673" s="1135"/>
      <c r="B673" s="1136"/>
      <c r="C673" s="738"/>
      <c r="D673" s="738"/>
      <c r="E673" s="739"/>
      <c r="F673" s="740"/>
      <c r="G673" s="741"/>
      <c r="H673" s="741"/>
      <c r="I673" s="742"/>
      <c r="J673" s="742"/>
      <c r="K673" s="742"/>
    </row>
    <row r="674" spans="1:11" ht="66" hidden="1" customHeight="1">
      <c r="A674" s="1031" t="s">
        <v>37</v>
      </c>
      <c r="B674" s="1033"/>
      <c r="C674" s="1037" t="s">
        <v>178</v>
      </c>
      <c r="D674" s="1037" t="s">
        <v>179</v>
      </c>
      <c r="E674" s="1037" t="s">
        <v>1521</v>
      </c>
      <c r="F674" s="1037" t="s">
        <v>14</v>
      </c>
      <c r="G674" s="1037" t="s">
        <v>1515</v>
      </c>
      <c r="H674" s="1037" t="s">
        <v>16</v>
      </c>
      <c r="I674" s="1039" t="s">
        <v>1490</v>
      </c>
      <c r="J674" s="1039" t="s">
        <v>2203</v>
      </c>
      <c r="K674" s="1037" t="s">
        <v>200</v>
      </c>
    </row>
    <row r="675" spans="1:11" s="500" customFormat="1" ht="30" hidden="1">
      <c r="A675" s="1034"/>
      <c r="B675" s="1036"/>
      <c r="C675" s="1038"/>
      <c r="D675" s="1038"/>
      <c r="E675" s="1038"/>
      <c r="F675" s="1038"/>
      <c r="G675" s="1038"/>
      <c r="H675" s="1038"/>
      <c r="I675" s="1039"/>
      <c r="J675" s="1039"/>
      <c r="K675" s="1038"/>
    </row>
    <row r="676" spans="1:11" s="500" customFormat="1" ht="74.25" hidden="1" customHeight="1">
      <c r="A676" s="1102" t="s">
        <v>1952</v>
      </c>
      <c r="B676" s="1103"/>
      <c r="C676" s="729"/>
      <c r="D676" s="729"/>
      <c r="E676" s="726"/>
      <c r="F676" s="727"/>
      <c r="G676" s="728"/>
      <c r="H676" s="728"/>
      <c r="I676" s="642">
        <f>I677+I685+I683</f>
        <v>66321</v>
      </c>
      <c r="J676" s="642">
        <f>J677+J685+J683</f>
        <v>44214</v>
      </c>
      <c r="K676" s="642">
        <f>I676+J676</f>
        <v>110535</v>
      </c>
    </row>
    <row r="677" spans="1:11" ht="75" hidden="1" customHeight="1">
      <c r="A677" s="1011" t="s">
        <v>1541</v>
      </c>
      <c r="B677" s="1013"/>
      <c r="C677" s="709"/>
      <c r="D677" s="709"/>
      <c r="E677" s="709"/>
      <c r="F677" s="708"/>
      <c r="G677" s="709"/>
      <c r="H677" s="710"/>
      <c r="I677" s="545">
        <f>SUM(I678:I682)</f>
        <v>58341</v>
      </c>
      <c r="J677" s="545">
        <f>SUM(J678:J682)</f>
        <v>38894</v>
      </c>
      <c r="K677" s="545">
        <f>I677+J677</f>
        <v>97235</v>
      </c>
    </row>
    <row r="678" spans="1:11" s="510" customFormat="1" ht="75" hidden="1" customHeight="1">
      <c r="A678" s="1020" t="s">
        <v>1954</v>
      </c>
      <c r="B678" s="1022"/>
      <c r="C678" s="714" t="s">
        <v>1958</v>
      </c>
      <c r="D678" s="714">
        <v>5</v>
      </c>
      <c r="E678" s="714" t="s">
        <v>1959</v>
      </c>
      <c r="F678" s="829" t="s">
        <v>2249</v>
      </c>
      <c r="G678" s="1047">
        <v>8100</v>
      </c>
      <c r="H678" s="1099" t="s">
        <v>2273</v>
      </c>
      <c r="I678" s="717">
        <f>K678/100*60</f>
        <v>17856</v>
      </c>
      <c r="J678" s="717">
        <f>K678/100*40</f>
        <v>11904</v>
      </c>
      <c r="K678" s="717">
        <v>29760</v>
      </c>
    </row>
    <row r="679" spans="1:11" s="510" customFormat="1" ht="75" hidden="1" customHeight="1">
      <c r="A679" s="1020" t="s">
        <v>1955</v>
      </c>
      <c r="B679" s="1022"/>
      <c r="C679" s="714" t="s">
        <v>1958</v>
      </c>
      <c r="D679" s="714">
        <v>4</v>
      </c>
      <c r="E679" s="714" t="s">
        <v>1960</v>
      </c>
      <c r="F679" s="829" t="s">
        <v>2247</v>
      </c>
      <c r="G679" s="1048"/>
      <c r="H679" s="1100"/>
      <c r="I679" s="717">
        <f>K679/100*60</f>
        <v>6000</v>
      </c>
      <c r="J679" s="717">
        <f>K679/100*40</f>
        <v>4000</v>
      </c>
      <c r="K679" s="717">
        <v>10000</v>
      </c>
    </row>
    <row r="680" spans="1:11" s="510" customFormat="1" ht="75" hidden="1" customHeight="1">
      <c r="A680" s="1020" t="s">
        <v>1496</v>
      </c>
      <c r="B680" s="1022"/>
      <c r="C680" s="714" t="s">
        <v>1961</v>
      </c>
      <c r="D680" s="714">
        <v>50</v>
      </c>
      <c r="E680" s="714" t="s">
        <v>1960</v>
      </c>
      <c r="F680" s="1044" t="s">
        <v>2248</v>
      </c>
      <c r="G680" s="1048"/>
      <c r="H680" s="1100"/>
      <c r="I680" s="717">
        <f>K680/100*60</f>
        <v>6000</v>
      </c>
      <c r="J680" s="717">
        <f>K680/100*40</f>
        <v>4000</v>
      </c>
      <c r="K680" s="717">
        <v>10000</v>
      </c>
    </row>
    <row r="681" spans="1:11" s="510" customFormat="1" ht="75" hidden="1" customHeight="1">
      <c r="A681" s="1020" t="s">
        <v>1840</v>
      </c>
      <c r="B681" s="1022"/>
      <c r="C681" s="714" t="s">
        <v>1962</v>
      </c>
      <c r="D681" s="714">
        <v>1</v>
      </c>
      <c r="E681" s="714" t="s">
        <v>1963</v>
      </c>
      <c r="F681" s="1045"/>
      <c r="G681" s="1048"/>
      <c r="H681" s="1100"/>
      <c r="I681" s="717">
        <f>K681/100*60</f>
        <v>4500</v>
      </c>
      <c r="J681" s="717">
        <f>K681/100*40</f>
        <v>3000</v>
      </c>
      <c r="K681" s="717">
        <v>7500</v>
      </c>
    </row>
    <row r="682" spans="1:11" s="510" customFormat="1" ht="74.25" hidden="1" customHeight="1">
      <c r="A682" s="1020" t="s">
        <v>1956</v>
      </c>
      <c r="B682" s="1022"/>
      <c r="C682" s="714" t="s">
        <v>1964</v>
      </c>
      <c r="D682" s="714">
        <v>1</v>
      </c>
      <c r="E682" s="714" t="s">
        <v>1965</v>
      </c>
      <c r="F682" s="1046"/>
      <c r="G682" s="1048"/>
      <c r="H682" s="1100"/>
      <c r="I682" s="717">
        <f>K682/100*60</f>
        <v>23985</v>
      </c>
      <c r="J682" s="717">
        <f>K682/100*40</f>
        <v>15990</v>
      </c>
      <c r="K682" s="717">
        <v>39975</v>
      </c>
    </row>
    <row r="683" spans="1:11" ht="73.5" hidden="1" customHeight="1">
      <c r="A683" s="1011" t="s">
        <v>278</v>
      </c>
      <c r="B683" s="1013"/>
      <c r="C683" s="709"/>
      <c r="D683" s="709"/>
      <c r="E683" s="709"/>
      <c r="F683" s="708"/>
      <c r="G683" s="709"/>
      <c r="H683" s="710"/>
      <c r="I683" s="545">
        <f>SUM(I684:I684)</f>
        <v>5580</v>
      </c>
      <c r="J683" s="545">
        <f>SUM(J684:J684)</f>
        <v>3720</v>
      </c>
      <c r="K683" s="545">
        <f>I683+J683</f>
        <v>9300</v>
      </c>
    </row>
    <row r="684" spans="1:11" s="510" customFormat="1" ht="74.25" hidden="1" customHeight="1">
      <c r="A684" s="1020" t="s">
        <v>1953</v>
      </c>
      <c r="B684" s="1022"/>
      <c r="C684" s="714" t="s">
        <v>1966</v>
      </c>
      <c r="D684" s="714">
        <v>7</v>
      </c>
      <c r="E684" s="714" t="s">
        <v>1967</v>
      </c>
      <c r="F684" s="833" t="s">
        <v>2235</v>
      </c>
      <c r="G684" s="827">
        <v>8100</v>
      </c>
      <c r="H684" s="834" t="s">
        <v>2445</v>
      </c>
      <c r="I684" s="717">
        <f>K684/100*60</f>
        <v>5580</v>
      </c>
      <c r="J684" s="717">
        <f>K684/100*40</f>
        <v>3720</v>
      </c>
      <c r="K684" s="717">
        <v>9300</v>
      </c>
    </row>
    <row r="685" spans="1:11" ht="73.5" hidden="1" customHeight="1">
      <c r="A685" s="1011" t="s">
        <v>312</v>
      </c>
      <c r="B685" s="1013"/>
      <c r="C685" s="709"/>
      <c r="D685" s="709"/>
      <c r="E685" s="709"/>
      <c r="F685" s="708"/>
      <c r="G685" s="709"/>
      <c r="H685" s="710"/>
      <c r="I685" s="545">
        <f>SUM(I686:I686)</f>
        <v>2400</v>
      </c>
      <c r="J685" s="545">
        <f>SUM(J686:J686)</f>
        <v>1600</v>
      </c>
      <c r="K685" s="545">
        <f>I685+J685</f>
        <v>4000</v>
      </c>
    </row>
    <row r="686" spans="1:11" s="510" customFormat="1" ht="74.25" hidden="1" customHeight="1">
      <c r="A686" s="1020" t="s">
        <v>1957</v>
      </c>
      <c r="B686" s="1022"/>
      <c r="C686" s="714" t="s">
        <v>1968</v>
      </c>
      <c r="D686" s="714">
        <v>2</v>
      </c>
      <c r="E686" s="714" t="s">
        <v>1969</v>
      </c>
      <c r="F686" s="829" t="s">
        <v>2225</v>
      </c>
      <c r="G686" s="827">
        <v>8100</v>
      </c>
      <c r="H686" s="828" t="s">
        <v>2273</v>
      </c>
      <c r="I686" s="717">
        <f>K686/100*60</f>
        <v>2400</v>
      </c>
      <c r="J686" s="717">
        <f>K686/100*40</f>
        <v>1600</v>
      </c>
      <c r="K686" s="717">
        <v>4000</v>
      </c>
    </row>
    <row r="687" spans="1:11" s="743" customFormat="1" ht="36.75" hidden="1" customHeight="1">
      <c r="A687" s="1135"/>
      <c r="B687" s="1136"/>
      <c r="C687" s="738"/>
      <c r="D687" s="738"/>
      <c r="E687" s="739"/>
      <c r="F687" s="740"/>
      <c r="G687" s="741"/>
      <c r="H687" s="741"/>
      <c r="I687" s="742"/>
      <c r="J687" s="742"/>
      <c r="K687" s="742"/>
    </row>
    <row r="688" spans="1:11" ht="66" hidden="1" customHeight="1">
      <c r="A688" s="1031" t="s">
        <v>37</v>
      </c>
      <c r="B688" s="1033"/>
      <c r="C688" s="1037" t="s">
        <v>178</v>
      </c>
      <c r="D688" s="1037" t="s">
        <v>179</v>
      </c>
      <c r="E688" s="1037" t="s">
        <v>1521</v>
      </c>
      <c r="F688" s="1037" t="s">
        <v>14</v>
      </c>
      <c r="G688" s="1037" t="s">
        <v>1515</v>
      </c>
      <c r="H688" s="1037" t="s">
        <v>16</v>
      </c>
      <c r="I688" s="1039" t="s">
        <v>1490</v>
      </c>
      <c r="J688" s="1039" t="s">
        <v>2203</v>
      </c>
      <c r="K688" s="1037" t="s">
        <v>200</v>
      </c>
    </row>
    <row r="689" spans="1:11" s="500" customFormat="1" ht="30" hidden="1">
      <c r="A689" s="1034"/>
      <c r="B689" s="1036"/>
      <c r="C689" s="1038"/>
      <c r="D689" s="1038"/>
      <c r="E689" s="1038"/>
      <c r="F689" s="1038"/>
      <c r="G689" s="1038"/>
      <c r="H689" s="1038"/>
      <c r="I689" s="1039"/>
      <c r="J689" s="1039"/>
      <c r="K689" s="1038"/>
    </row>
    <row r="690" spans="1:11" s="500" customFormat="1" ht="74.25" hidden="1" customHeight="1">
      <c r="A690" s="1102" t="s">
        <v>1947</v>
      </c>
      <c r="B690" s="1103"/>
      <c r="C690" s="729"/>
      <c r="D690" s="729"/>
      <c r="E690" s="726"/>
      <c r="F690" s="727"/>
      <c r="G690" s="728"/>
      <c r="H690" s="728"/>
      <c r="I690" s="642">
        <f>I691</f>
        <v>41142.6</v>
      </c>
      <c r="J690" s="642">
        <f>J691</f>
        <v>27428.399999999998</v>
      </c>
      <c r="K690" s="642">
        <f>I690+J690</f>
        <v>68571</v>
      </c>
    </row>
    <row r="691" spans="1:11" ht="75" hidden="1" customHeight="1">
      <c r="A691" s="1011" t="s">
        <v>1541</v>
      </c>
      <c r="B691" s="1013"/>
      <c r="C691" s="709"/>
      <c r="D691" s="709"/>
      <c r="E691" s="709"/>
      <c r="F691" s="708"/>
      <c r="G691" s="709"/>
      <c r="H691" s="710"/>
      <c r="I691" s="545">
        <f>SUM(I692:I693)</f>
        <v>41142.6</v>
      </c>
      <c r="J691" s="545">
        <f>SUM(J692:J693)</f>
        <v>27428.399999999998</v>
      </c>
      <c r="K691" s="545">
        <f>I691+J691</f>
        <v>68571</v>
      </c>
    </row>
    <row r="692" spans="1:11" s="510" customFormat="1" ht="75" hidden="1" customHeight="1">
      <c r="A692" s="1020" t="s">
        <v>1945</v>
      </c>
      <c r="B692" s="1022"/>
      <c r="C692" s="714" t="s">
        <v>1941</v>
      </c>
      <c r="D692" s="714">
        <v>200</v>
      </c>
      <c r="E692" s="714" t="s">
        <v>1942</v>
      </c>
      <c r="F692" s="833" t="s">
        <v>2247</v>
      </c>
      <c r="G692" s="1139">
        <v>8100</v>
      </c>
      <c r="H692" s="1140" t="s">
        <v>2273</v>
      </c>
      <c r="I692" s="717">
        <f>K692/100*60</f>
        <v>39955.199999999997</v>
      </c>
      <c r="J692" s="717">
        <f>K692/100*40</f>
        <v>26636.799999999999</v>
      </c>
      <c r="K692" s="717">
        <v>66592</v>
      </c>
    </row>
    <row r="693" spans="1:11" s="510" customFormat="1" ht="74.25" hidden="1" customHeight="1">
      <c r="A693" s="1020" t="s">
        <v>1946</v>
      </c>
      <c r="B693" s="1022"/>
      <c r="C693" s="714" t="s">
        <v>1943</v>
      </c>
      <c r="D693" s="714">
        <v>11</v>
      </c>
      <c r="E693" s="714" t="s">
        <v>1944</v>
      </c>
      <c r="F693" s="833" t="s">
        <v>2248</v>
      </c>
      <c r="G693" s="1139"/>
      <c r="H693" s="1140"/>
      <c r="I693" s="717">
        <f>K693/100*60</f>
        <v>1187.3999999999999</v>
      </c>
      <c r="J693" s="717">
        <f>K693/100*40</f>
        <v>791.59999999999991</v>
      </c>
      <c r="K693" s="717">
        <v>1979</v>
      </c>
    </row>
    <row r="694" spans="1:11" s="510" customFormat="1" ht="74.25" hidden="1" customHeight="1">
      <c r="A694" s="753"/>
      <c r="B694" s="753"/>
      <c r="C694" s="754"/>
      <c r="D694" s="754"/>
      <c r="E694" s="754"/>
      <c r="F694" s="755"/>
      <c r="G694" s="758"/>
      <c r="H694" s="756"/>
      <c r="I694" s="757"/>
      <c r="J694" s="757"/>
      <c r="K694" s="757"/>
    </row>
    <row r="695" spans="1:11" s="510" customFormat="1" ht="74.25" hidden="1" customHeight="1">
      <c r="A695" s="753"/>
      <c r="B695" s="753"/>
      <c r="C695" s="754"/>
      <c r="D695" s="754"/>
      <c r="E695" s="754"/>
      <c r="F695" s="755"/>
      <c r="G695" s="758"/>
      <c r="H695" s="756"/>
      <c r="I695" s="757"/>
      <c r="J695" s="757"/>
      <c r="K695" s="757"/>
    </row>
    <row r="696" spans="1:11" ht="34.5" hidden="1" customHeight="1">
      <c r="A696" s="1128" t="s">
        <v>51</v>
      </c>
      <c r="B696" s="1128"/>
      <c r="C696" s="1128"/>
      <c r="D696" s="1128"/>
      <c r="E696" s="1128"/>
      <c r="F696" s="1128"/>
      <c r="G696" s="1128"/>
      <c r="H696" s="1128"/>
      <c r="I696" s="1128"/>
      <c r="J696" s="1128"/>
      <c r="K696" s="1128"/>
    </row>
    <row r="697" spans="1:11" ht="30.75" hidden="1" customHeight="1">
      <c r="A697" s="1128" t="s">
        <v>52</v>
      </c>
      <c r="B697" s="1128"/>
      <c r="C697" s="1128"/>
      <c r="D697" s="1128"/>
      <c r="E697" s="1128"/>
      <c r="F697" s="1128"/>
      <c r="G697" s="1128"/>
      <c r="H697" s="1128"/>
      <c r="I697" s="1128"/>
      <c r="J697" s="1128"/>
      <c r="K697" s="1128"/>
    </row>
    <row r="698" spans="1:11" ht="33" hidden="1" customHeight="1">
      <c r="A698" s="1132" t="s">
        <v>50</v>
      </c>
      <c r="B698" s="1132"/>
      <c r="C698" s="1132"/>
      <c r="D698" s="1132"/>
      <c r="E698" s="1132"/>
      <c r="F698" s="1132"/>
      <c r="G698" s="1132"/>
      <c r="H698" s="1132"/>
      <c r="I698" s="1132"/>
      <c r="J698" s="1132"/>
      <c r="K698" s="1132"/>
    </row>
    <row r="699" spans="1:11" ht="33" hidden="1" customHeight="1">
      <c r="A699" s="154"/>
      <c r="B699" s="154"/>
      <c r="C699" s="154"/>
      <c r="D699" s="154"/>
      <c r="E699" s="154"/>
      <c r="F699" s="154"/>
      <c r="G699" s="707"/>
      <c r="H699" s="707"/>
      <c r="I699" s="707"/>
      <c r="J699" s="707"/>
      <c r="K699" s="707"/>
    </row>
    <row r="700" spans="1:11" ht="35.25" hidden="1">
      <c r="A700" s="1128" t="s">
        <v>1336</v>
      </c>
      <c r="B700" s="1128"/>
      <c r="C700" s="1128"/>
      <c r="D700" s="1128"/>
      <c r="E700" s="1128"/>
      <c r="F700" s="1128"/>
      <c r="G700" s="1128"/>
      <c r="H700" s="1128"/>
      <c r="I700" s="1128"/>
      <c r="J700" s="1128"/>
      <c r="K700" s="1128"/>
    </row>
    <row r="701" spans="1:11" s="620" customFormat="1" ht="33" hidden="1">
      <c r="A701" s="65"/>
      <c r="B701" s="65"/>
      <c r="C701" s="65"/>
      <c r="D701" s="65"/>
      <c r="E701" s="65"/>
      <c r="F701" s="65"/>
      <c r="G701" s="68"/>
      <c r="H701" s="68"/>
      <c r="I701" s="68"/>
      <c r="J701" s="68"/>
      <c r="K701" s="68"/>
    </row>
    <row r="702" spans="1:11" ht="20.100000000000001" hidden="1" customHeight="1">
      <c r="A702" s="65"/>
      <c r="B702" s="65"/>
      <c r="C702" s="65"/>
      <c r="D702" s="65"/>
      <c r="E702" s="65"/>
      <c r="F702" s="65"/>
      <c r="G702" s="68"/>
      <c r="H702" s="68"/>
      <c r="I702" s="68"/>
      <c r="J702" s="68"/>
      <c r="K702" s="68"/>
    </row>
    <row r="703" spans="1:11" ht="20.100000000000001" hidden="1" customHeight="1">
      <c r="A703" s="979"/>
      <c r="B703" s="979"/>
      <c r="C703" s="979"/>
      <c r="D703" s="979"/>
      <c r="E703" s="979"/>
      <c r="F703" s="979"/>
      <c r="G703" s="979"/>
      <c r="H703" s="979"/>
      <c r="I703" s="979"/>
      <c r="J703" s="979"/>
      <c r="K703" s="979"/>
    </row>
    <row r="704" spans="1:11" ht="45.75" hidden="1" customHeight="1">
      <c r="A704" s="1030" t="s">
        <v>1382</v>
      </c>
      <c r="B704" s="1030"/>
      <c r="C704" s="1030"/>
      <c r="D704" s="1030"/>
      <c r="E704" s="1030"/>
      <c r="F704" s="1030"/>
      <c r="G704" s="1030"/>
      <c r="H704" s="1030"/>
      <c r="I704" s="1030"/>
      <c r="J704" s="1030"/>
      <c r="K704" s="1030"/>
    </row>
    <row r="705" spans="1:11" ht="66" hidden="1" customHeight="1">
      <c r="A705" s="1031" t="s">
        <v>37</v>
      </c>
      <c r="B705" s="1033"/>
      <c r="C705" s="1037" t="s">
        <v>178</v>
      </c>
      <c r="D705" s="1037" t="s">
        <v>179</v>
      </c>
      <c r="E705" s="1037" t="s">
        <v>1521</v>
      </c>
      <c r="F705" s="1037" t="s">
        <v>14</v>
      </c>
      <c r="G705" s="1037" t="s">
        <v>1515</v>
      </c>
      <c r="H705" s="1037" t="s">
        <v>16</v>
      </c>
      <c r="I705" s="1039" t="s">
        <v>1490</v>
      </c>
      <c r="J705" s="1039" t="s">
        <v>2203</v>
      </c>
      <c r="K705" s="1037" t="s">
        <v>200</v>
      </c>
    </row>
    <row r="706" spans="1:11" s="500" customFormat="1" ht="30" hidden="1">
      <c r="A706" s="1034"/>
      <c r="B706" s="1036"/>
      <c r="C706" s="1038"/>
      <c r="D706" s="1038"/>
      <c r="E706" s="1038"/>
      <c r="F706" s="1038"/>
      <c r="G706" s="1038"/>
      <c r="H706" s="1038"/>
      <c r="I706" s="1039"/>
      <c r="J706" s="1039"/>
      <c r="K706" s="1038"/>
    </row>
    <row r="707" spans="1:11" s="500" customFormat="1" ht="74.25" hidden="1" customHeight="1">
      <c r="A707" s="1102" t="s">
        <v>1930</v>
      </c>
      <c r="B707" s="1103"/>
      <c r="C707" s="729"/>
      <c r="D707" s="729"/>
      <c r="E707" s="726"/>
      <c r="F707" s="727"/>
      <c r="G707" s="728"/>
      <c r="H707" s="728"/>
      <c r="I707" s="642">
        <f>I708+I713</f>
        <v>68421.600000000006</v>
      </c>
      <c r="J707" s="642">
        <f>J708+J713</f>
        <v>45614.400000000001</v>
      </c>
      <c r="K707" s="642">
        <f>I707+J707</f>
        <v>114036</v>
      </c>
    </row>
    <row r="708" spans="1:11" ht="75" hidden="1" customHeight="1">
      <c r="A708" s="1011" t="s">
        <v>1541</v>
      </c>
      <c r="B708" s="1013"/>
      <c r="C708" s="709"/>
      <c r="D708" s="709"/>
      <c r="E708" s="709"/>
      <c r="F708" s="708"/>
      <c r="G708" s="709"/>
      <c r="H708" s="710"/>
      <c r="I708" s="545">
        <f>SUM(I709:I712)</f>
        <v>51321.599999999999</v>
      </c>
      <c r="J708" s="545">
        <f>SUM(J709:J712)</f>
        <v>34214.400000000001</v>
      </c>
      <c r="K708" s="545">
        <f>I708+J708</f>
        <v>85536</v>
      </c>
    </row>
    <row r="709" spans="1:11" s="510" customFormat="1" ht="75" hidden="1" customHeight="1">
      <c r="A709" s="1020" t="s">
        <v>1807</v>
      </c>
      <c r="B709" s="1022"/>
      <c r="C709" s="714" t="s">
        <v>1931</v>
      </c>
      <c r="D709" s="714">
        <v>1</v>
      </c>
      <c r="E709" s="714" t="s">
        <v>1932</v>
      </c>
      <c r="F709" s="829" t="s">
        <v>2246</v>
      </c>
      <c r="G709" s="1047">
        <v>8100</v>
      </c>
      <c r="H709" s="1099" t="s">
        <v>2273</v>
      </c>
      <c r="I709" s="717">
        <f>K709/100*60</f>
        <v>5721.6</v>
      </c>
      <c r="J709" s="717">
        <f>K709/100*40</f>
        <v>3814.4</v>
      </c>
      <c r="K709" s="717">
        <v>9536</v>
      </c>
    </row>
    <row r="710" spans="1:11" s="510" customFormat="1" ht="74.25" hidden="1" customHeight="1">
      <c r="A710" s="1020" t="s">
        <v>1852</v>
      </c>
      <c r="B710" s="1022"/>
      <c r="C710" s="714" t="s">
        <v>1801</v>
      </c>
      <c r="D710" s="714">
        <v>12</v>
      </c>
      <c r="E710" s="714" t="s">
        <v>1935</v>
      </c>
      <c r="F710" s="829" t="s">
        <v>2247</v>
      </c>
      <c r="G710" s="1048"/>
      <c r="H710" s="1100"/>
      <c r="I710" s="717">
        <f>K710/100*60</f>
        <v>15000</v>
      </c>
      <c r="J710" s="717">
        <f>K710/100*40</f>
        <v>10000</v>
      </c>
      <c r="K710" s="717">
        <v>25000</v>
      </c>
    </row>
    <row r="711" spans="1:11" s="510" customFormat="1" ht="75" hidden="1" customHeight="1">
      <c r="A711" s="1020" t="s">
        <v>1840</v>
      </c>
      <c r="B711" s="1022"/>
      <c r="C711" s="714" t="s">
        <v>1933</v>
      </c>
      <c r="D711" s="714">
        <v>1</v>
      </c>
      <c r="E711" s="714" t="s">
        <v>1680</v>
      </c>
      <c r="F711" s="1104" t="s">
        <v>2248</v>
      </c>
      <c r="G711" s="1048"/>
      <c r="H711" s="1100"/>
      <c r="I711" s="717">
        <f>K711/100*60</f>
        <v>10200</v>
      </c>
      <c r="J711" s="717">
        <f>K711/100*40</f>
        <v>6800</v>
      </c>
      <c r="K711" s="717">
        <v>17000</v>
      </c>
    </row>
    <row r="712" spans="1:11" s="510" customFormat="1" ht="75" hidden="1" customHeight="1">
      <c r="A712" s="1020" t="s">
        <v>1929</v>
      </c>
      <c r="B712" s="1022"/>
      <c r="C712" s="714" t="s">
        <v>1934</v>
      </c>
      <c r="D712" s="714">
        <v>5</v>
      </c>
      <c r="E712" s="714" t="s">
        <v>1936</v>
      </c>
      <c r="F712" s="1104"/>
      <c r="G712" s="1048"/>
      <c r="H712" s="1100"/>
      <c r="I712" s="717">
        <f>K712/100*60</f>
        <v>20400</v>
      </c>
      <c r="J712" s="717">
        <f>K712/100*40</f>
        <v>13600</v>
      </c>
      <c r="K712" s="717">
        <v>34000</v>
      </c>
    </row>
    <row r="713" spans="1:11" ht="73.5" hidden="1" customHeight="1">
      <c r="A713" s="1011" t="s">
        <v>312</v>
      </c>
      <c r="B713" s="1013"/>
      <c r="C713" s="709"/>
      <c r="D713" s="709"/>
      <c r="E713" s="709"/>
      <c r="F713" s="708"/>
      <c r="G713" s="709"/>
      <c r="H713" s="710"/>
      <c r="I713" s="545">
        <f>SUM(I714:I715)</f>
        <v>17100</v>
      </c>
      <c r="J713" s="545">
        <f>SUM(J714:J715)</f>
        <v>11400</v>
      </c>
      <c r="K713" s="545">
        <f>I713+J713</f>
        <v>28500</v>
      </c>
    </row>
    <row r="714" spans="1:11" s="510" customFormat="1" ht="74.25" hidden="1" customHeight="1">
      <c r="A714" s="1020" t="s">
        <v>1937</v>
      </c>
      <c r="B714" s="1022"/>
      <c r="C714" s="714" t="s">
        <v>1801</v>
      </c>
      <c r="D714" s="714">
        <v>13</v>
      </c>
      <c r="E714" s="714" t="s">
        <v>1939</v>
      </c>
      <c r="F714" s="1044" t="s">
        <v>2225</v>
      </c>
      <c r="G714" s="1047">
        <v>8100</v>
      </c>
      <c r="H714" s="1099" t="s">
        <v>2273</v>
      </c>
      <c r="I714" s="717">
        <f>K714/100*60</f>
        <v>6300</v>
      </c>
      <c r="J714" s="717">
        <f>K714/100*40</f>
        <v>4200</v>
      </c>
      <c r="K714" s="717">
        <v>10500</v>
      </c>
    </row>
    <row r="715" spans="1:11" s="510" customFormat="1" ht="74.25" hidden="1" customHeight="1">
      <c r="A715" s="1020" t="s">
        <v>1938</v>
      </c>
      <c r="B715" s="1022"/>
      <c r="C715" s="714" t="s">
        <v>1934</v>
      </c>
      <c r="D715" s="714">
        <v>8</v>
      </c>
      <c r="E715" s="714" t="s">
        <v>1940</v>
      </c>
      <c r="F715" s="1046"/>
      <c r="G715" s="1049"/>
      <c r="H715" s="1101"/>
      <c r="I715" s="717">
        <f>K715/100*60</f>
        <v>10800</v>
      </c>
      <c r="J715" s="717">
        <f>K715/100*40</f>
        <v>7200</v>
      </c>
      <c r="K715" s="717">
        <v>18000</v>
      </c>
    </row>
    <row r="716" spans="1:11" s="743" customFormat="1" ht="36.75" hidden="1" customHeight="1">
      <c r="A716" s="1135"/>
      <c r="B716" s="1136"/>
      <c r="C716" s="738"/>
      <c r="D716" s="738"/>
      <c r="E716" s="739"/>
      <c r="F716" s="740"/>
      <c r="G716" s="741"/>
      <c r="H716" s="741"/>
      <c r="I716" s="742"/>
      <c r="J716" s="742"/>
      <c r="K716" s="742"/>
    </row>
    <row r="717" spans="1:11" ht="66" hidden="1" customHeight="1">
      <c r="A717" s="1031" t="s">
        <v>37</v>
      </c>
      <c r="B717" s="1033"/>
      <c r="C717" s="1037" t="s">
        <v>178</v>
      </c>
      <c r="D717" s="1037" t="s">
        <v>179</v>
      </c>
      <c r="E717" s="1037" t="s">
        <v>1521</v>
      </c>
      <c r="F717" s="1037" t="s">
        <v>14</v>
      </c>
      <c r="G717" s="1037" t="s">
        <v>1515</v>
      </c>
      <c r="H717" s="1037" t="s">
        <v>16</v>
      </c>
      <c r="I717" s="1039" t="s">
        <v>1490</v>
      </c>
      <c r="J717" s="1039" t="s">
        <v>2203</v>
      </c>
      <c r="K717" s="1037" t="s">
        <v>200</v>
      </c>
    </row>
    <row r="718" spans="1:11" s="500" customFormat="1" ht="30" hidden="1">
      <c r="A718" s="1034"/>
      <c r="B718" s="1036"/>
      <c r="C718" s="1038"/>
      <c r="D718" s="1038"/>
      <c r="E718" s="1038"/>
      <c r="F718" s="1038"/>
      <c r="G718" s="1038"/>
      <c r="H718" s="1038"/>
      <c r="I718" s="1039"/>
      <c r="J718" s="1039"/>
      <c r="K718" s="1038"/>
    </row>
    <row r="719" spans="1:11" s="500" customFormat="1" ht="74.25" hidden="1" customHeight="1">
      <c r="A719" s="1102" t="s">
        <v>1948</v>
      </c>
      <c r="B719" s="1103"/>
      <c r="C719" s="729"/>
      <c r="D719" s="729"/>
      <c r="E719" s="726"/>
      <c r="F719" s="727"/>
      <c r="G719" s="728"/>
      <c r="H719" s="728"/>
      <c r="I719" s="642">
        <f>I720+I724</f>
        <v>61584.000000000007</v>
      </c>
      <c r="J719" s="642">
        <f>J720+J724</f>
        <v>41056</v>
      </c>
      <c r="K719" s="642">
        <f>I719+J719</f>
        <v>102640</v>
      </c>
    </row>
    <row r="720" spans="1:11" ht="75" hidden="1" customHeight="1">
      <c r="A720" s="1011" t="s">
        <v>1541</v>
      </c>
      <c r="B720" s="1013"/>
      <c r="C720" s="709"/>
      <c r="D720" s="709"/>
      <c r="E720" s="709"/>
      <c r="F720" s="708"/>
      <c r="G720" s="709"/>
      <c r="H720" s="710"/>
      <c r="I720" s="545">
        <f>SUM(I721:I723)</f>
        <v>55449.600000000006</v>
      </c>
      <c r="J720" s="545">
        <f>SUM(J721:J723)</f>
        <v>36966.400000000001</v>
      </c>
      <c r="K720" s="545">
        <f>I720+J720</f>
        <v>92416</v>
      </c>
    </row>
    <row r="721" spans="1:11" s="510" customFormat="1" ht="75" hidden="1" customHeight="1">
      <c r="A721" s="1020" t="s">
        <v>1949</v>
      </c>
      <c r="B721" s="1022"/>
      <c r="C721" s="714" t="s">
        <v>1544</v>
      </c>
      <c r="D721" s="714"/>
      <c r="E721" s="714" t="s">
        <v>1544</v>
      </c>
      <c r="F721" s="829" t="s">
        <v>2246</v>
      </c>
      <c r="G721" s="1047">
        <v>8100</v>
      </c>
      <c r="H721" s="1099" t="s">
        <v>2273</v>
      </c>
      <c r="I721" s="717">
        <f>K721/100*60</f>
        <v>4800</v>
      </c>
      <c r="J721" s="717">
        <f>K721/100*40</f>
        <v>3200</v>
      </c>
      <c r="K721" s="717">
        <v>8000</v>
      </c>
    </row>
    <row r="722" spans="1:11" s="510" customFormat="1" ht="74.25" hidden="1" customHeight="1">
      <c r="A722" s="1020" t="s">
        <v>1546</v>
      </c>
      <c r="B722" s="1022"/>
      <c r="C722" s="714" t="s">
        <v>1544</v>
      </c>
      <c r="D722" s="714"/>
      <c r="E722" s="714" t="s">
        <v>1544</v>
      </c>
      <c r="F722" s="829" t="s">
        <v>2247</v>
      </c>
      <c r="G722" s="1048"/>
      <c r="H722" s="1100"/>
      <c r="I722" s="717">
        <f>K722/100*60</f>
        <v>24000</v>
      </c>
      <c r="J722" s="717">
        <f>K722/100*40</f>
        <v>16000</v>
      </c>
      <c r="K722" s="717">
        <v>40000</v>
      </c>
    </row>
    <row r="723" spans="1:11" s="510" customFormat="1" ht="74.25" hidden="1" customHeight="1">
      <c r="A723" s="1020" t="s">
        <v>1950</v>
      </c>
      <c r="B723" s="1022"/>
      <c r="C723" s="714" t="s">
        <v>1544</v>
      </c>
      <c r="D723" s="714"/>
      <c r="E723" s="714" t="s">
        <v>1544</v>
      </c>
      <c r="F723" s="829" t="s">
        <v>2248</v>
      </c>
      <c r="G723" s="1048"/>
      <c r="H723" s="1100"/>
      <c r="I723" s="717">
        <f>K723/100*60</f>
        <v>26649.600000000002</v>
      </c>
      <c r="J723" s="717">
        <f>K723/100*40</f>
        <v>17766.400000000001</v>
      </c>
      <c r="K723" s="717">
        <v>44416</v>
      </c>
    </row>
    <row r="724" spans="1:11" ht="73.5" hidden="1" customHeight="1">
      <c r="A724" s="1011" t="s">
        <v>312</v>
      </c>
      <c r="B724" s="1013"/>
      <c r="C724" s="709"/>
      <c r="D724" s="709"/>
      <c r="E724" s="709"/>
      <c r="F724" s="708"/>
      <c r="G724" s="709"/>
      <c r="H724" s="710"/>
      <c r="I724" s="545">
        <f>SUM(I725:I725)</f>
        <v>6134.4</v>
      </c>
      <c r="J724" s="545">
        <f>SUM(J725:J725)</f>
        <v>4089.6</v>
      </c>
      <c r="K724" s="545">
        <f>I724+J724</f>
        <v>10224</v>
      </c>
    </row>
    <row r="725" spans="1:11" s="510" customFormat="1" ht="74.25" hidden="1" customHeight="1">
      <c r="A725" s="1020" t="s">
        <v>1951</v>
      </c>
      <c r="B725" s="1022"/>
      <c r="C725" s="714" t="s">
        <v>1544</v>
      </c>
      <c r="D725" s="714"/>
      <c r="E725" s="714" t="s">
        <v>1544</v>
      </c>
      <c r="F725" s="829" t="s">
        <v>2225</v>
      </c>
      <c r="G725" s="827">
        <v>8100</v>
      </c>
      <c r="H725" s="828" t="s">
        <v>2273</v>
      </c>
      <c r="I725" s="717">
        <f>K725/100*60</f>
        <v>6134.4</v>
      </c>
      <c r="J725" s="717">
        <f>K725/100*40</f>
        <v>4089.6</v>
      </c>
      <c r="K725" s="717">
        <v>10224</v>
      </c>
    </row>
    <row r="726" spans="1:11" s="743" customFormat="1" ht="36.75" hidden="1" customHeight="1">
      <c r="A726" s="1135"/>
      <c r="B726" s="1136"/>
      <c r="C726" s="738"/>
      <c r="D726" s="738"/>
      <c r="E726" s="739"/>
      <c r="F726" s="740"/>
      <c r="G726" s="741"/>
      <c r="H726" s="741"/>
      <c r="I726" s="742"/>
      <c r="J726" s="742"/>
      <c r="K726" s="742"/>
    </row>
    <row r="727" spans="1:11" ht="66" hidden="1" customHeight="1">
      <c r="A727" s="1031" t="s">
        <v>37</v>
      </c>
      <c r="B727" s="1033"/>
      <c r="C727" s="1037" t="s">
        <v>178</v>
      </c>
      <c r="D727" s="1037" t="s">
        <v>179</v>
      </c>
      <c r="E727" s="1037" t="s">
        <v>1521</v>
      </c>
      <c r="F727" s="1037" t="s">
        <v>14</v>
      </c>
      <c r="G727" s="1037" t="s">
        <v>1515</v>
      </c>
      <c r="H727" s="1037" t="s">
        <v>16</v>
      </c>
      <c r="I727" s="1039" t="s">
        <v>1490</v>
      </c>
      <c r="J727" s="1039" t="s">
        <v>2203</v>
      </c>
      <c r="K727" s="1037" t="s">
        <v>200</v>
      </c>
    </row>
    <row r="728" spans="1:11" s="500" customFormat="1" ht="30" hidden="1">
      <c r="A728" s="1034"/>
      <c r="B728" s="1036"/>
      <c r="C728" s="1038"/>
      <c r="D728" s="1038"/>
      <c r="E728" s="1038"/>
      <c r="F728" s="1038"/>
      <c r="G728" s="1038"/>
      <c r="H728" s="1038"/>
      <c r="I728" s="1039"/>
      <c r="J728" s="1039"/>
      <c r="K728" s="1038"/>
    </row>
    <row r="729" spans="1:11" s="500" customFormat="1" ht="74.25" hidden="1" customHeight="1">
      <c r="A729" s="1102" t="s">
        <v>1879</v>
      </c>
      <c r="B729" s="1103"/>
      <c r="C729" s="729"/>
      <c r="D729" s="729"/>
      <c r="E729" s="726"/>
      <c r="F729" s="727"/>
      <c r="G729" s="728"/>
      <c r="H729" s="728"/>
      <c r="I729" s="642">
        <f>I730+I737</f>
        <v>79675.199999999997</v>
      </c>
      <c r="J729" s="642">
        <f>J730+J737</f>
        <v>53116.800000000003</v>
      </c>
      <c r="K729" s="642">
        <f>I729+J729</f>
        <v>132792</v>
      </c>
    </row>
    <row r="730" spans="1:11" ht="75" hidden="1" customHeight="1">
      <c r="A730" s="1011" t="s">
        <v>1541</v>
      </c>
      <c r="B730" s="1013"/>
      <c r="C730" s="709"/>
      <c r="D730" s="709"/>
      <c r="E730" s="709"/>
      <c r="F730" s="708"/>
      <c r="G730" s="709"/>
      <c r="H730" s="710"/>
      <c r="I730" s="545">
        <f>SUM(I731:I736)</f>
        <v>77275.199999999997</v>
      </c>
      <c r="J730" s="545">
        <f>SUM(J731:J736)</f>
        <v>51516.800000000003</v>
      </c>
      <c r="K730" s="545">
        <f>I730+J730</f>
        <v>128792</v>
      </c>
    </row>
    <row r="731" spans="1:11" s="510" customFormat="1" ht="75" hidden="1" customHeight="1">
      <c r="A731" s="1020" t="s">
        <v>1892</v>
      </c>
      <c r="B731" s="1022"/>
      <c r="C731" s="714" t="s">
        <v>1880</v>
      </c>
      <c r="D731" s="714">
        <v>70</v>
      </c>
      <c r="E731" s="714" t="s">
        <v>1881</v>
      </c>
      <c r="F731" s="829" t="s">
        <v>2246</v>
      </c>
      <c r="G731" s="1047">
        <v>8100</v>
      </c>
      <c r="H731" s="1099" t="s">
        <v>2273</v>
      </c>
      <c r="I731" s="717">
        <f t="shared" ref="I731:I736" si="25">K731/100*60</f>
        <v>8428.7999999999993</v>
      </c>
      <c r="J731" s="717">
        <f t="shared" ref="J731:J736" si="26">K731/100*40</f>
        <v>5619.2</v>
      </c>
      <c r="K731" s="717">
        <v>14048</v>
      </c>
    </row>
    <row r="732" spans="1:11" s="510" customFormat="1" ht="74.25" hidden="1" customHeight="1">
      <c r="A732" s="1020" t="s">
        <v>1893</v>
      </c>
      <c r="B732" s="1022"/>
      <c r="C732" s="714" t="s">
        <v>1882</v>
      </c>
      <c r="D732" s="714">
        <v>60</v>
      </c>
      <c r="E732" s="714" t="s">
        <v>1883</v>
      </c>
      <c r="F732" s="829" t="s">
        <v>2249</v>
      </c>
      <c r="G732" s="1048"/>
      <c r="H732" s="1100"/>
      <c r="I732" s="717">
        <f t="shared" si="25"/>
        <v>28569.600000000002</v>
      </c>
      <c r="J732" s="717">
        <f t="shared" si="26"/>
        <v>19046.400000000001</v>
      </c>
      <c r="K732" s="717">
        <v>47616</v>
      </c>
    </row>
    <row r="733" spans="1:11" s="510" customFormat="1" ht="75" hidden="1" customHeight="1">
      <c r="A733" s="1020" t="s">
        <v>1894</v>
      </c>
      <c r="B733" s="1022"/>
      <c r="C733" s="714" t="s">
        <v>1884</v>
      </c>
      <c r="D733" s="714">
        <v>80</v>
      </c>
      <c r="E733" s="714" t="s">
        <v>1885</v>
      </c>
      <c r="F733" s="829" t="s">
        <v>2247</v>
      </c>
      <c r="G733" s="1048"/>
      <c r="H733" s="1100"/>
      <c r="I733" s="717">
        <f t="shared" si="25"/>
        <v>5400</v>
      </c>
      <c r="J733" s="717">
        <f t="shared" si="26"/>
        <v>3600</v>
      </c>
      <c r="K733" s="717">
        <v>9000</v>
      </c>
    </row>
    <row r="734" spans="1:11" s="510" customFormat="1" ht="75" hidden="1" customHeight="1">
      <c r="A734" s="1020" t="s">
        <v>1895</v>
      </c>
      <c r="B734" s="1022"/>
      <c r="C734" s="714" t="s">
        <v>1886</v>
      </c>
      <c r="D734" s="714">
        <v>70</v>
      </c>
      <c r="E734" s="714" t="s">
        <v>1887</v>
      </c>
      <c r="F734" s="1104" t="s">
        <v>2248</v>
      </c>
      <c r="G734" s="1048"/>
      <c r="H734" s="1100"/>
      <c r="I734" s="717">
        <f t="shared" si="25"/>
        <v>3000</v>
      </c>
      <c r="J734" s="717">
        <f t="shared" si="26"/>
        <v>2000</v>
      </c>
      <c r="K734" s="717">
        <v>5000</v>
      </c>
    </row>
    <row r="735" spans="1:11" s="510" customFormat="1" ht="75" hidden="1" customHeight="1">
      <c r="A735" s="1020" t="s">
        <v>1896</v>
      </c>
      <c r="B735" s="1022"/>
      <c r="C735" s="714" t="s">
        <v>1888</v>
      </c>
      <c r="D735" s="714">
        <v>80</v>
      </c>
      <c r="E735" s="714" t="s">
        <v>1889</v>
      </c>
      <c r="F735" s="1104"/>
      <c r="G735" s="1048"/>
      <c r="H735" s="1100"/>
      <c r="I735" s="717">
        <f t="shared" si="25"/>
        <v>14181</v>
      </c>
      <c r="J735" s="717">
        <f t="shared" si="26"/>
        <v>9454</v>
      </c>
      <c r="K735" s="717">
        <v>23635</v>
      </c>
    </row>
    <row r="736" spans="1:11" s="510" customFormat="1" ht="75" hidden="1" customHeight="1">
      <c r="A736" s="1020" t="s">
        <v>1897</v>
      </c>
      <c r="B736" s="1022"/>
      <c r="C736" s="714" t="s">
        <v>1890</v>
      </c>
      <c r="D736" s="714">
        <v>80</v>
      </c>
      <c r="E736" s="714" t="s">
        <v>1891</v>
      </c>
      <c r="F736" s="1104"/>
      <c r="G736" s="1048"/>
      <c r="H736" s="1100"/>
      <c r="I736" s="717">
        <f t="shared" si="25"/>
        <v>17695.8</v>
      </c>
      <c r="J736" s="717">
        <f t="shared" si="26"/>
        <v>11797.2</v>
      </c>
      <c r="K736" s="717">
        <v>29493</v>
      </c>
    </row>
    <row r="737" spans="1:11" ht="73.5" hidden="1" customHeight="1">
      <c r="A737" s="1011" t="s">
        <v>312</v>
      </c>
      <c r="B737" s="1013"/>
      <c r="C737" s="709"/>
      <c r="D737" s="709"/>
      <c r="E737" s="709"/>
      <c r="F737" s="708"/>
      <c r="G737" s="709"/>
      <c r="H737" s="710"/>
      <c r="I737" s="545">
        <f>SUM(I738:I738)</f>
        <v>2400</v>
      </c>
      <c r="J737" s="545">
        <f>SUM(J738:J738)</f>
        <v>1600</v>
      </c>
      <c r="K737" s="545">
        <f>I737+J737</f>
        <v>4000</v>
      </c>
    </row>
    <row r="738" spans="1:11" s="510" customFormat="1" ht="74.25" hidden="1" customHeight="1">
      <c r="A738" s="1020" t="s">
        <v>1898</v>
      </c>
      <c r="B738" s="1022"/>
      <c r="C738" s="714" t="s">
        <v>1900</v>
      </c>
      <c r="D738" s="714">
        <v>70</v>
      </c>
      <c r="E738" s="714" t="s">
        <v>1899</v>
      </c>
      <c r="F738" s="833" t="s">
        <v>2225</v>
      </c>
      <c r="G738" s="835">
        <v>8100</v>
      </c>
      <c r="H738" s="834" t="s">
        <v>2273</v>
      </c>
      <c r="I738" s="717">
        <f>K738/100*60</f>
        <v>2400</v>
      </c>
      <c r="J738" s="717">
        <f>K738/100*40</f>
        <v>1600</v>
      </c>
      <c r="K738" s="717">
        <v>4000</v>
      </c>
    </row>
    <row r="739" spans="1:11" s="510" customFormat="1" ht="74.25" hidden="1" customHeight="1">
      <c r="A739" s="753"/>
      <c r="B739" s="753"/>
      <c r="C739" s="754"/>
      <c r="D739" s="754"/>
      <c r="E739" s="754"/>
      <c r="F739" s="755"/>
      <c r="G739" s="758"/>
      <c r="H739" s="756"/>
      <c r="I739" s="757"/>
      <c r="J739" s="757"/>
      <c r="K739" s="757"/>
    </row>
    <row r="740" spans="1:11" ht="34.5" hidden="1" customHeight="1">
      <c r="A740" s="1128" t="s">
        <v>51</v>
      </c>
      <c r="B740" s="1128"/>
      <c r="C740" s="1128"/>
      <c r="D740" s="1128"/>
      <c r="E740" s="1128"/>
      <c r="F740" s="1128"/>
      <c r="G740" s="1128"/>
      <c r="H740" s="1128"/>
      <c r="I740" s="1128"/>
      <c r="J740" s="1128"/>
      <c r="K740" s="1128"/>
    </row>
    <row r="741" spans="1:11" ht="30.75" hidden="1" customHeight="1">
      <c r="A741" s="1128" t="s">
        <v>52</v>
      </c>
      <c r="B741" s="1128"/>
      <c r="C741" s="1128"/>
      <c r="D741" s="1128"/>
      <c r="E741" s="1128"/>
      <c r="F741" s="1128"/>
      <c r="G741" s="1128"/>
      <c r="H741" s="1128"/>
      <c r="I741" s="1128"/>
      <c r="J741" s="1128"/>
      <c r="K741" s="1128"/>
    </row>
    <row r="742" spans="1:11" ht="33" hidden="1" customHeight="1">
      <c r="A742" s="1132" t="s">
        <v>50</v>
      </c>
      <c r="B742" s="1132"/>
      <c r="C742" s="1132"/>
      <c r="D742" s="1132"/>
      <c r="E742" s="1132"/>
      <c r="F742" s="1132"/>
      <c r="G742" s="1132"/>
      <c r="H742" s="1132"/>
      <c r="I742" s="1132"/>
      <c r="J742" s="1132"/>
      <c r="K742" s="1132"/>
    </row>
    <row r="743" spans="1:11" ht="33" hidden="1" customHeight="1">
      <c r="A743" s="154"/>
      <c r="B743" s="154"/>
      <c r="C743" s="154"/>
      <c r="D743" s="154"/>
      <c r="E743" s="154"/>
      <c r="F743" s="154"/>
      <c r="G743" s="707"/>
      <c r="H743" s="707"/>
      <c r="I743" s="707"/>
      <c r="J743" s="707"/>
      <c r="K743" s="707"/>
    </row>
    <row r="744" spans="1:11" ht="35.25" hidden="1">
      <c r="A744" s="1128" t="s">
        <v>1336</v>
      </c>
      <c r="B744" s="1128"/>
      <c r="C744" s="1128"/>
      <c r="D744" s="1128"/>
      <c r="E744" s="1128"/>
      <c r="F744" s="1128"/>
      <c r="G744" s="1128"/>
      <c r="H744" s="1128"/>
      <c r="I744" s="1128"/>
      <c r="J744" s="1128"/>
      <c r="K744" s="1128"/>
    </row>
    <row r="745" spans="1:11" s="620" customFormat="1" ht="33" hidden="1">
      <c r="A745" s="65"/>
      <c r="B745" s="65"/>
      <c r="C745" s="65"/>
      <c r="D745" s="65"/>
      <c r="E745" s="65"/>
      <c r="F745" s="65"/>
      <c r="G745" s="68"/>
      <c r="H745" s="68"/>
      <c r="I745" s="68"/>
      <c r="J745" s="68"/>
      <c r="K745" s="68"/>
    </row>
    <row r="746" spans="1:11" ht="20.100000000000001" hidden="1" customHeight="1">
      <c r="A746" s="65"/>
      <c r="B746" s="65"/>
      <c r="C746" s="65"/>
      <c r="D746" s="65"/>
      <c r="E746" s="65"/>
      <c r="F746" s="65"/>
      <c r="G746" s="68"/>
      <c r="H746" s="68"/>
      <c r="I746" s="68"/>
      <c r="J746" s="68"/>
      <c r="K746" s="68"/>
    </row>
    <row r="747" spans="1:11" ht="20.100000000000001" hidden="1" customHeight="1">
      <c r="A747" s="979"/>
      <c r="B747" s="979"/>
      <c r="C747" s="979"/>
      <c r="D747" s="979"/>
      <c r="E747" s="979"/>
      <c r="F747" s="979"/>
      <c r="G747" s="979"/>
      <c r="H747" s="979"/>
      <c r="I747" s="979"/>
      <c r="J747" s="979"/>
      <c r="K747" s="979"/>
    </row>
    <row r="748" spans="1:11" ht="45.75" hidden="1" customHeight="1">
      <c r="A748" s="1030" t="s">
        <v>1382</v>
      </c>
      <c r="B748" s="1030"/>
      <c r="C748" s="1030"/>
      <c r="D748" s="1030"/>
      <c r="E748" s="1030"/>
      <c r="F748" s="1030"/>
      <c r="G748" s="1030"/>
      <c r="H748" s="1030"/>
      <c r="I748" s="1030"/>
      <c r="J748" s="1030"/>
      <c r="K748" s="1030"/>
    </row>
    <row r="749" spans="1:11" ht="66" hidden="1" customHeight="1">
      <c r="A749" s="1031" t="s">
        <v>37</v>
      </c>
      <c r="B749" s="1033"/>
      <c r="C749" s="1037" t="s">
        <v>178</v>
      </c>
      <c r="D749" s="1037" t="s">
        <v>179</v>
      </c>
      <c r="E749" s="1037" t="s">
        <v>1521</v>
      </c>
      <c r="F749" s="1037" t="s">
        <v>14</v>
      </c>
      <c r="G749" s="1037" t="s">
        <v>1515</v>
      </c>
      <c r="H749" s="1037" t="s">
        <v>16</v>
      </c>
      <c r="I749" s="1039" t="s">
        <v>1490</v>
      </c>
      <c r="J749" s="1039" t="s">
        <v>2203</v>
      </c>
      <c r="K749" s="1037" t="s">
        <v>200</v>
      </c>
    </row>
    <row r="750" spans="1:11" s="500" customFormat="1" ht="30" hidden="1">
      <c r="A750" s="1034"/>
      <c r="B750" s="1036"/>
      <c r="C750" s="1038"/>
      <c r="D750" s="1038"/>
      <c r="E750" s="1038"/>
      <c r="F750" s="1038"/>
      <c r="G750" s="1038"/>
      <c r="H750" s="1038"/>
      <c r="I750" s="1039"/>
      <c r="J750" s="1039"/>
      <c r="K750" s="1038"/>
    </row>
    <row r="751" spans="1:11" s="500" customFormat="1" ht="74.25" hidden="1" customHeight="1">
      <c r="A751" s="1102" t="s">
        <v>1901</v>
      </c>
      <c r="B751" s="1103"/>
      <c r="C751" s="729"/>
      <c r="D751" s="729"/>
      <c r="E751" s="726"/>
      <c r="F751" s="727"/>
      <c r="G751" s="728"/>
      <c r="H751" s="728"/>
      <c r="I751" s="642">
        <f>I752+I764+I762</f>
        <v>44001.468000000001</v>
      </c>
      <c r="J751" s="642">
        <f>J752+J764+J762</f>
        <v>29334.311999999998</v>
      </c>
      <c r="K751" s="642">
        <f>I751+J751</f>
        <v>73335.78</v>
      </c>
    </row>
    <row r="752" spans="1:11" ht="75" hidden="1" customHeight="1">
      <c r="A752" s="1011" t="s">
        <v>1541</v>
      </c>
      <c r="B752" s="1013"/>
      <c r="C752" s="709"/>
      <c r="D752" s="709"/>
      <c r="E752" s="709"/>
      <c r="F752" s="708"/>
      <c r="G752" s="709"/>
      <c r="H752" s="710"/>
      <c r="I752" s="545">
        <f>SUM(I753:I761)</f>
        <v>32527.601999999999</v>
      </c>
      <c r="J752" s="545">
        <f>SUM(J753:J761)</f>
        <v>21685.067999999999</v>
      </c>
      <c r="K752" s="545">
        <f>I752+J752</f>
        <v>54212.67</v>
      </c>
    </row>
    <row r="753" spans="1:11" s="510" customFormat="1" ht="75" hidden="1" customHeight="1">
      <c r="A753" s="1020" t="s">
        <v>1919</v>
      </c>
      <c r="B753" s="1022"/>
      <c r="C753" s="714" t="s">
        <v>1904</v>
      </c>
      <c r="D753" s="714">
        <v>6</v>
      </c>
      <c r="E753" s="714" t="s">
        <v>1905</v>
      </c>
      <c r="F753" s="1044" t="s">
        <v>2246</v>
      </c>
      <c r="G753" s="1047">
        <v>8100</v>
      </c>
      <c r="H753" s="1099" t="s">
        <v>2273</v>
      </c>
      <c r="I753" s="717">
        <f t="shared" ref="I753:I761" si="27">K753/100*60</f>
        <v>360</v>
      </c>
      <c r="J753" s="717">
        <f t="shared" ref="J753:J761" si="28">K753/100*40</f>
        <v>240</v>
      </c>
      <c r="K753" s="717">
        <v>600</v>
      </c>
    </row>
    <row r="754" spans="1:11" s="510" customFormat="1" ht="75" hidden="1" customHeight="1">
      <c r="A754" s="1020" t="s">
        <v>1920</v>
      </c>
      <c r="B754" s="1022"/>
      <c r="C754" s="714" t="s">
        <v>1906</v>
      </c>
      <c r="D754" s="714">
        <v>4</v>
      </c>
      <c r="E754" s="714" t="s">
        <v>1907</v>
      </c>
      <c r="F754" s="1046"/>
      <c r="G754" s="1048"/>
      <c r="H754" s="1100"/>
      <c r="I754" s="717">
        <f t="shared" si="27"/>
        <v>3780</v>
      </c>
      <c r="J754" s="717">
        <f t="shared" si="28"/>
        <v>2520</v>
      </c>
      <c r="K754" s="717">
        <v>6300</v>
      </c>
    </row>
    <row r="755" spans="1:11" s="510" customFormat="1" ht="75" hidden="1" customHeight="1">
      <c r="A755" s="1020" t="s">
        <v>1606</v>
      </c>
      <c r="B755" s="1022"/>
      <c r="C755" s="714" t="s">
        <v>1908</v>
      </c>
      <c r="D755" s="714">
        <v>16</v>
      </c>
      <c r="E755" s="714" t="s">
        <v>1905</v>
      </c>
      <c r="F755" s="1044" t="s">
        <v>2247</v>
      </c>
      <c r="G755" s="1048"/>
      <c r="H755" s="1100"/>
      <c r="I755" s="717">
        <f t="shared" si="27"/>
        <v>3563.58</v>
      </c>
      <c r="J755" s="717">
        <f t="shared" si="28"/>
        <v>2375.7200000000003</v>
      </c>
      <c r="K755" s="717">
        <v>5939.3</v>
      </c>
    </row>
    <row r="756" spans="1:11" s="510" customFormat="1" ht="75" hidden="1" customHeight="1">
      <c r="A756" s="1020" t="s">
        <v>1921</v>
      </c>
      <c r="B756" s="1022"/>
      <c r="C756" s="714" t="s">
        <v>1908</v>
      </c>
      <c r="D756" s="714">
        <v>16</v>
      </c>
      <c r="E756" s="714" t="s">
        <v>1905</v>
      </c>
      <c r="F756" s="1045"/>
      <c r="G756" s="1048"/>
      <c r="H756" s="1100"/>
      <c r="I756" s="717">
        <f t="shared" si="27"/>
        <v>322.42200000000003</v>
      </c>
      <c r="J756" s="717">
        <f t="shared" si="28"/>
        <v>214.94800000000001</v>
      </c>
      <c r="K756" s="717">
        <v>537.37</v>
      </c>
    </row>
    <row r="757" spans="1:11" s="510" customFormat="1" ht="74.25" hidden="1" customHeight="1">
      <c r="A757" s="1020" t="s">
        <v>1922</v>
      </c>
      <c r="B757" s="1022"/>
      <c r="C757" s="714" t="s">
        <v>1909</v>
      </c>
      <c r="D757" s="714">
        <v>450</v>
      </c>
      <c r="E757" s="714" t="s">
        <v>1905</v>
      </c>
      <c r="F757" s="1046"/>
      <c r="G757" s="1048"/>
      <c r="H757" s="1100"/>
      <c r="I757" s="717">
        <f t="shared" si="27"/>
        <v>2160</v>
      </c>
      <c r="J757" s="717">
        <f t="shared" si="28"/>
        <v>1440</v>
      </c>
      <c r="K757" s="717">
        <v>3600</v>
      </c>
    </row>
    <row r="758" spans="1:11" s="510" customFormat="1" ht="75" hidden="1" customHeight="1">
      <c r="A758" s="1020" t="s">
        <v>1902</v>
      </c>
      <c r="B758" s="1022"/>
      <c r="C758" s="714" t="s">
        <v>1910</v>
      </c>
      <c r="D758" s="714">
        <v>2</v>
      </c>
      <c r="E758" s="714" t="s">
        <v>1905</v>
      </c>
      <c r="F758" s="1044" t="s">
        <v>2248</v>
      </c>
      <c r="G758" s="1048"/>
      <c r="H758" s="1100"/>
      <c r="I758" s="717">
        <f t="shared" si="27"/>
        <v>5100</v>
      </c>
      <c r="J758" s="717">
        <f t="shared" si="28"/>
        <v>3400</v>
      </c>
      <c r="K758" s="717">
        <v>8500</v>
      </c>
    </row>
    <row r="759" spans="1:11" s="510" customFormat="1" ht="75" hidden="1" customHeight="1">
      <c r="A759" s="1020" t="s">
        <v>1923</v>
      </c>
      <c r="B759" s="1022"/>
      <c r="C759" s="714" t="s">
        <v>1911</v>
      </c>
      <c r="D759" s="714">
        <v>8</v>
      </c>
      <c r="E759" s="714" t="s">
        <v>1905</v>
      </c>
      <c r="F759" s="1045"/>
      <c r="G759" s="1048"/>
      <c r="H759" s="1100"/>
      <c r="I759" s="717">
        <f t="shared" si="27"/>
        <v>960</v>
      </c>
      <c r="J759" s="717">
        <f t="shared" si="28"/>
        <v>640</v>
      </c>
      <c r="K759" s="717">
        <v>1600</v>
      </c>
    </row>
    <row r="760" spans="1:11" s="510" customFormat="1" ht="75" hidden="1" customHeight="1">
      <c r="A760" s="1020" t="s">
        <v>1924</v>
      </c>
      <c r="B760" s="1022"/>
      <c r="C760" s="714" t="s">
        <v>1912</v>
      </c>
      <c r="D760" s="714">
        <v>100</v>
      </c>
      <c r="E760" s="714" t="s">
        <v>1913</v>
      </c>
      <c r="F760" s="1045"/>
      <c r="G760" s="1048"/>
      <c r="H760" s="1100"/>
      <c r="I760" s="717">
        <f t="shared" si="27"/>
        <v>4833.6000000000004</v>
      </c>
      <c r="J760" s="717">
        <f t="shared" si="28"/>
        <v>3222.4</v>
      </c>
      <c r="K760" s="717">
        <v>8056</v>
      </c>
    </row>
    <row r="761" spans="1:11" s="510" customFormat="1" ht="75" hidden="1" customHeight="1">
      <c r="A761" s="1020" t="s">
        <v>1925</v>
      </c>
      <c r="B761" s="1022"/>
      <c r="C761" s="714" t="s">
        <v>1914</v>
      </c>
      <c r="D761" s="714">
        <v>36</v>
      </c>
      <c r="E761" s="714" t="s">
        <v>1913</v>
      </c>
      <c r="F761" s="1046"/>
      <c r="G761" s="1049"/>
      <c r="H761" s="1101"/>
      <c r="I761" s="717">
        <f t="shared" si="27"/>
        <v>11448</v>
      </c>
      <c r="J761" s="717">
        <f t="shared" si="28"/>
        <v>7632</v>
      </c>
      <c r="K761" s="717">
        <v>19080</v>
      </c>
    </row>
    <row r="762" spans="1:11" ht="73.5" hidden="1" customHeight="1">
      <c r="A762" s="1011" t="s">
        <v>278</v>
      </c>
      <c r="B762" s="1013"/>
      <c r="C762" s="709"/>
      <c r="D762" s="709"/>
      <c r="E762" s="709"/>
      <c r="F762" s="708"/>
      <c r="G762" s="709"/>
      <c r="H762" s="710"/>
      <c r="I762" s="545">
        <f>SUM(I763:I763)</f>
        <v>2520</v>
      </c>
      <c r="J762" s="545">
        <f>SUM(J763:J763)</f>
        <v>1680</v>
      </c>
      <c r="K762" s="545">
        <f>I762+J762</f>
        <v>4200</v>
      </c>
    </row>
    <row r="763" spans="1:11" s="510" customFormat="1" ht="74.25" hidden="1" customHeight="1">
      <c r="A763" s="1020" t="s">
        <v>1903</v>
      </c>
      <c r="B763" s="1022"/>
      <c r="C763" s="714" t="s">
        <v>1215</v>
      </c>
      <c r="D763" s="714">
        <v>4</v>
      </c>
      <c r="E763" s="714" t="s">
        <v>1915</v>
      </c>
      <c r="F763" s="833" t="s">
        <v>2235</v>
      </c>
      <c r="G763" s="827">
        <v>8100</v>
      </c>
      <c r="H763" s="834" t="s">
        <v>2445</v>
      </c>
      <c r="I763" s="717">
        <f>K763/100*60</f>
        <v>2520</v>
      </c>
      <c r="J763" s="717">
        <f>K763/100*40</f>
        <v>1680</v>
      </c>
      <c r="K763" s="717">
        <v>4200</v>
      </c>
    </row>
    <row r="764" spans="1:11" ht="73.5" hidden="1" customHeight="1">
      <c r="A764" s="1011" t="s">
        <v>312</v>
      </c>
      <c r="B764" s="1013"/>
      <c r="C764" s="709"/>
      <c r="D764" s="709"/>
      <c r="E764" s="709"/>
      <c r="F764" s="708"/>
      <c r="G764" s="709"/>
      <c r="H764" s="710"/>
      <c r="I764" s="545">
        <f>SUM(I765:I767)</f>
        <v>8953.866</v>
      </c>
      <c r="J764" s="545">
        <f>SUM(J765:J767)</f>
        <v>5969.2439999999997</v>
      </c>
      <c r="K764" s="545">
        <f>I764+J764</f>
        <v>14923.11</v>
      </c>
    </row>
    <row r="765" spans="1:11" s="510" customFormat="1" ht="74.25" hidden="1" customHeight="1">
      <c r="A765" s="1020" t="s">
        <v>1926</v>
      </c>
      <c r="B765" s="1022"/>
      <c r="C765" s="714" t="s">
        <v>1916</v>
      </c>
      <c r="D765" s="714">
        <v>8</v>
      </c>
      <c r="E765" s="714" t="s">
        <v>1917</v>
      </c>
      <c r="F765" s="1044" t="s">
        <v>2225</v>
      </c>
      <c r="G765" s="1047">
        <v>8100</v>
      </c>
      <c r="H765" s="1099" t="s">
        <v>2273</v>
      </c>
      <c r="I765" s="717">
        <f>K765/100*60</f>
        <v>4200</v>
      </c>
      <c r="J765" s="717">
        <f>K765/100*40</f>
        <v>2800</v>
      </c>
      <c r="K765" s="717">
        <v>7000</v>
      </c>
    </row>
    <row r="766" spans="1:11" s="510" customFormat="1" ht="74.25" hidden="1" customHeight="1">
      <c r="A766" s="1020" t="s">
        <v>1927</v>
      </c>
      <c r="B766" s="1022"/>
      <c r="C766" s="714" t="s">
        <v>1918</v>
      </c>
      <c r="D766" s="714">
        <v>9</v>
      </c>
      <c r="E766" s="714" t="s">
        <v>1917</v>
      </c>
      <c r="F766" s="1045"/>
      <c r="G766" s="1048"/>
      <c r="H766" s="1100"/>
      <c r="I766" s="717">
        <f>K766/100*60</f>
        <v>1800</v>
      </c>
      <c r="J766" s="717">
        <f>K766/100*40</f>
        <v>1200</v>
      </c>
      <c r="K766" s="717">
        <v>3000</v>
      </c>
    </row>
    <row r="767" spans="1:11" s="510" customFormat="1" ht="74.25" hidden="1" customHeight="1">
      <c r="A767" s="1020" t="s">
        <v>1928</v>
      </c>
      <c r="B767" s="1022"/>
      <c r="C767" s="714" t="s">
        <v>1908</v>
      </c>
      <c r="D767" s="714">
        <v>16</v>
      </c>
      <c r="E767" s="714" t="s">
        <v>1905</v>
      </c>
      <c r="F767" s="1046"/>
      <c r="G767" s="1049"/>
      <c r="H767" s="1101"/>
      <c r="I767" s="717">
        <f>K767/100*60</f>
        <v>2953.866</v>
      </c>
      <c r="J767" s="717">
        <f>K767/100*40</f>
        <v>1969.2439999999999</v>
      </c>
      <c r="K767" s="717">
        <v>4923.1099999999997</v>
      </c>
    </row>
    <row r="768" spans="1:11" ht="98.25" hidden="1" customHeight="1">
      <c r="A768" s="1141"/>
      <c r="B768" s="1141"/>
      <c r="C768" s="1141"/>
      <c r="D768" s="1141"/>
      <c r="E768" s="1141"/>
      <c r="F768" s="1141"/>
      <c r="G768" s="1141"/>
      <c r="H768" s="1141"/>
      <c r="I768" s="1141"/>
      <c r="J768" s="1141"/>
      <c r="K768" s="1141"/>
    </row>
    <row r="769" spans="1:11" ht="54.75" hidden="1" customHeight="1">
      <c r="A769" s="528"/>
      <c r="B769" s="529"/>
      <c r="C769" s="529"/>
      <c r="D769" s="530"/>
      <c r="E769" s="531"/>
      <c r="F769" s="532"/>
      <c r="G769" s="533"/>
      <c r="H769" s="534"/>
      <c r="I769" s="535"/>
      <c r="J769" s="535"/>
      <c r="K769" s="535"/>
    </row>
    <row r="770" spans="1:11" ht="34.5" hidden="1" customHeight="1">
      <c r="A770" s="1128" t="s">
        <v>51</v>
      </c>
      <c r="B770" s="1128"/>
      <c r="C770" s="1128"/>
      <c r="D770" s="1128"/>
      <c r="E770" s="1128"/>
      <c r="F770" s="1128"/>
      <c r="G770" s="1128"/>
      <c r="H770" s="1128"/>
      <c r="I770" s="1128"/>
      <c r="J770" s="1128"/>
      <c r="K770" s="1128"/>
    </row>
    <row r="771" spans="1:11" ht="30.75" hidden="1" customHeight="1">
      <c r="A771" s="1128" t="s">
        <v>52</v>
      </c>
      <c r="B771" s="1128"/>
      <c r="C771" s="1128"/>
      <c r="D771" s="1128"/>
      <c r="E771" s="1128"/>
      <c r="F771" s="1128"/>
      <c r="G771" s="1128"/>
      <c r="H771" s="1128"/>
      <c r="I771" s="1128"/>
      <c r="J771" s="1128"/>
      <c r="K771" s="1128"/>
    </row>
    <row r="772" spans="1:11" ht="33" hidden="1" customHeight="1">
      <c r="A772" s="1132" t="s">
        <v>50</v>
      </c>
      <c r="B772" s="1132"/>
      <c r="C772" s="1132"/>
      <c r="D772" s="1132"/>
      <c r="E772" s="1132"/>
      <c r="F772" s="1132"/>
      <c r="G772" s="1132"/>
      <c r="H772" s="1132"/>
      <c r="I772" s="1132"/>
      <c r="J772" s="1132"/>
      <c r="K772" s="1132"/>
    </row>
    <row r="773" spans="1:11" ht="33" hidden="1" customHeight="1">
      <c r="A773" s="154"/>
      <c r="B773" s="154"/>
      <c r="C773" s="154"/>
      <c r="D773" s="154"/>
      <c r="E773" s="154"/>
      <c r="F773" s="154"/>
      <c r="G773" s="707"/>
      <c r="H773" s="707"/>
      <c r="I773" s="707"/>
      <c r="J773" s="707"/>
      <c r="K773" s="707"/>
    </row>
    <row r="774" spans="1:11" ht="35.25" hidden="1">
      <c r="A774" s="1128" t="s">
        <v>1336</v>
      </c>
      <c r="B774" s="1128"/>
      <c r="C774" s="1128"/>
      <c r="D774" s="1128"/>
      <c r="E774" s="1128"/>
      <c r="F774" s="1128"/>
      <c r="G774" s="1128"/>
      <c r="H774" s="1128"/>
      <c r="I774" s="1128"/>
      <c r="J774" s="1128"/>
      <c r="K774" s="1128"/>
    </row>
    <row r="775" spans="1:11" s="620" customFormat="1" ht="33" hidden="1">
      <c r="A775" s="65"/>
      <c r="B775" s="65"/>
      <c r="C775" s="65"/>
      <c r="D775" s="65"/>
      <c r="E775" s="65"/>
      <c r="F775" s="65"/>
      <c r="G775" s="68"/>
      <c r="H775" s="68"/>
      <c r="I775" s="68"/>
      <c r="J775" s="68"/>
      <c r="K775" s="68"/>
    </row>
    <row r="776" spans="1:11" ht="20.100000000000001" hidden="1" customHeight="1">
      <c r="A776" s="65"/>
      <c r="B776" s="65"/>
      <c r="C776" s="65"/>
      <c r="D776" s="65"/>
      <c r="E776" s="65"/>
      <c r="F776" s="65"/>
      <c r="G776" s="68"/>
      <c r="H776" s="68"/>
      <c r="I776" s="68"/>
      <c r="J776" s="68"/>
      <c r="K776" s="68"/>
    </row>
    <row r="777" spans="1:11" ht="20.100000000000001" hidden="1" customHeight="1">
      <c r="A777" s="979"/>
      <c r="B777" s="979"/>
      <c r="C777" s="979"/>
      <c r="D777" s="979"/>
      <c r="E777" s="979"/>
      <c r="F777" s="979"/>
      <c r="G777" s="979"/>
      <c r="H777" s="979"/>
      <c r="I777" s="979"/>
      <c r="J777" s="979"/>
      <c r="K777" s="979"/>
    </row>
    <row r="778" spans="1:11" ht="45.75" hidden="1" customHeight="1">
      <c r="A778" s="1030" t="s">
        <v>1382</v>
      </c>
      <c r="B778" s="1030"/>
      <c r="C778" s="1030"/>
      <c r="D778" s="1030"/>
      <c r="E778" s="1030"/>
      <c r="F778" s="1030"/>
      <c r="G778" s="1030"/>
      <c r="H778" s="1030"/>
      <c r="I778" s="1030"/>
      <c r="J778" s="1030"/>
      <c r="K778" s="1030"/>
    </row>
    <row r="779" spans="1:11" ht="66" hidden="1" customHeight="1">
      <c r="A779" s="1031" t="s">
        <v>37</v>
      </c>
      <c r="B779" s="1033"/>
      <c r="C779" s="1037" t="s">
        <v>178</v>
      </c>
      <c r="D779" s="1037" t="s">
        <v>179</v>
      </c>
      <c r="E779" s="1037" t="s">
        <v>1521</v>
      </c>
      <c r="F779" s="1037" t="s">
        <v>14</v>
      </c>
      <c r="G779" s="1037" t="s">
        <v>1515</v>
      </c>
      <c r="H779" s="1037" t="s">
        <v>16</v>
      </c>
      <c r="I779" s="1039" t="s">
        <v>1490</v>
      </c>
      <c r="J779" s="1039" t="s">
        <v>2203</v>
      </c>
      <c r="K779" s="1037" t="s">
        <v>200</v>
      </c>
    </row>
    <row r="780" spans="1:11" s="500" customFormat="1" ht="30" hidden="1">
      <c r="A780" s="1034"/>
      <c r="B780" s="1036"/>
      <c r="C780" s="1038"/>
      <c r="D780" s="1038"/>
      <c r="E780" s="1038"/>
      <c r="F780" s="1038"/>
      <c r="G780" s="1038"/>
      <c r="H780" s="1038"/>
      <c r="I780" s="1039"/>
      <c r="J780" s="1039"/>
      <c r="K780" s="1038"/>
    </row>
    <row r="781" spans="1:11" s="500" customFormat="1" ht="74.25" hidden="1" customHeight="1">
      <c r="A781" s="1102" t="s">
        <v>1982</v>
      </c>
      <c r="B781" s="1103"/>
      <c r="C781" s="729"/>
      <c r="D781" s="729"/>
      <c r="E781" s="726"/>
      <c r="F781" s="727"/>
      <c r="G781" s="728"/>
      <c r="H781" s="728"/>
      <c r="I781" s="642">
        <f>I782+I791+I789</f>
        <v>42717</v>
      </c>
      <c r="J781" s="642">
        <f>J782+J791+J789</f>
        <v>28478</v>
      </c>
      <c r="K781" s="642">
        <f>I781+J781</f>
        <v>71195</v>
      </c>
    </row>
    <row r="782" spans="1:11" ht="75" hidden="1" customHeight="1">
      <c r="A782" s="1011" t="s">
        <v>1541</v>
      </c>
      <c r="B782" s="1013"/>
      <c r="C782" s="709"/>
      <c r="D782" s="709"/>
      <c r="E782" s="709"/>
      <c r="F782" s="708"/>
      <c r="G782" s="709"/>
      <c r="H782" s="710"/>
      <c r="I782" s="545">
        <f>SUM(I783:I788)</f>
        <v>38817</v>
      </c>
      <c r="J782" s="545">
        <f>SUM(J783:J788)</f>
        <v>25878</v>
      </c>
      <c r="K782" s="545">
        <f>I782+J782</f>
        <v>64695</v>
      </c>
    </row>
    <row r="783" spans="1:11" s="510" customFormat="1" ht="75" hidden="1" customHeight="1">
      <c r="A783" s="825" t="s">
        <v>1984</v>
      </c>
      <c r="B783" s="826"/>
      <c r="C783" s="714" t="s">
        <v>1993</v>
      </c>
      <c r="D783" s="714">
        <v>1</v>
      </c>
      <c r="E783" s="714" t="s">
        <v>1994</v>
      </c>
      <c r="F783" s="829" t="s">
        <v>2249</v>
      </c>
      <c r="G783" s="1047">
        <v>8100</v>
      </c>
      <c r="H783" s="1099" t="s">
        <v>2273</v>
      </c>
      <c r="I783" s="717">
        <f t="shared" ref="I783:I788" si="29">K783/100*60</f>
        <v>3571.2000000000003</v>
      </c>
      <c r="J783" s="717">
        <f t="shared" ref="J783:J788" si="30">K783/100*40</f>
        <v>2380.8000000000002</v>
      </c>
      <c r="K783" s="717">
        <v>5952</v>
      </c>
    </row>
    <row r="784" spans="1:11" s="510" customFormat="1" ht="75" hidden="1" customHeight="1">
      <c r="A784" s="825" t="s">
        <v>1985</v>
      </c>
      <c r="B784" s="826"/>
      <c r="C784" s="714" t="s">
        <v>79</v>
      </c>
      <c r="D784" s="714"/>
      <c r="E784" s="714" t="s">
        <v>1544</v>
      </c>
      <c r="F784" s="1044" t="s">
        <v>2246</v>
      </c>
      <c r="G784" s="1048"/>
      <c r="H784" s="1100"/>
      <c r="I784" s="717">
        <f t="shared" si="29"/>
        <v>6000</v>
      </c>
      <c r="J784" s="717">
        <f t="shared" si="30"/>
        <v>4000</v>
      </c>
      <c r="K784" s="717">
        <v>10000</v>
      </c>
    </row>
    <row r="785" spans="1:11" s="510" customFormat="1" ht="75" hidden="1" customHeight="1">
      <c r="A785" s="825" t="s">
        <v>1986</v>
      </c>
      <c r="B785" s="826"/>
      <c r="C785" s="714" t="s">
        <v>1995</v>
      </c>
      <c r="D785" s="714">
        <v>1</v>
      </c>
      <c r="E785" s="714" t="s">
        <v>1649</v>
      </c>
      <c r="F785" s="1046"/>
      <c r="G785" s="1048"/>
      <c r="H785" s="1100"/>
      <c r="I785" s="717">
        <f t="shared" si="29"/>
        <v>8245.8000000000011</v>
      </c>
      <c r="J785" s="717">
        <f t="shared" si="30"/>
        <v>5497.2000000000007</v>
      </c>
      <c r="K785" s="717">
        <v>13743</v>
      </c>
    </row>
    <row r="786" spans="1:11" s="510" customFormat="1" ht="75" hidden="1" customHeight="1">
      <c r="A786" s="825" t="s">
        <v>1983</v>
      </c>
      <c r="B786" s="826"/>
      <c r="C786" s="714" t="s">
        <v>1991</v>
      </c>
      <c r="D786" s="714">
        <v>2</v>
      </c>
      <c r="E786" s="714" t="s">
        <v>1992</v>
      </c>
      <c r="F786" s="829" t="s">
        <v>2247</v>
      </c>
      <c r="G786" s="1048"/>
      <c r="H786" s="1100"/>
      <c r="I786" s="717">
        <f t="shared" si="29"/>
        <v>9000</v>
      </c>
      <c r="J786" s="717">
        <f t="shared" si="30"/>
        <v>6000</v>
      </c>
      <c r="K786" s="717">
        <v>15000</v>
      </c>
    </row>
    <row r="787" spans="1:11" s="510" customFormat="1" ht="74.25" hidden="1" customHeight="1">
      <c r="A787" s="825" t="s">
        <v>1987</v>
      </c>
      <c r="B787" s="826"/>
      <c r="C787" s="714" t="s">
        <v>1996</v>
      </c>
      <c r="D787" s="714">
        <v>10</v>
      </c>
      <c r="E787" s="714" t="s">
        <v>1997</v>
      </c>
      <c r="F787" s="1044" t="s">
        <v>2248</v>
      </c>
      <c r="G787" s="1048"/>
      <c r="H787" s="1100"/>
      <c r="I787" s="717">
        <f t="shared" si="29"/>
        <v>9000</v>
      </c>
      <c r="J787" s="717">
        <f t="shared" si="30"/>
        <v>6000</v>
      </c>
      <c r="K787" s="717">
        <v>15000</v>
      </c>
    </row>
    <row r="788" spans="1:11" s="510" customFormat="1" ht="75" hidden="1" customHeight="1">
      <c r="A788" s="825" t="s">
        <v>1988</v>
      </c>
      <c r="B788" s="826"/>
      <c r="C788" s="714" t="s">
        <v>216</v>
      </c>
      <c r="D788" s="714">
        <v>9</v>
      </c>
      <c r="E788" s="714" t="s">
        <v>1997</v>
      </c>
      <c r="F788" s="1046"/>
      <c r="G788" s="1049"/>
      <c r="H788" s="1101"/>
      <c r="I788" s="717">
        <f t="shared" si="29"/>
        <v>3000</v>
      </c>
      <c r="J788" s="717">
        <f t="shared" si="30"/>
        <v>2000</v>
      </c>
      <c r="K788" s="717">
        <v>5000</v>
      </c>
    </row>
    <row r="789" spans="1:11" ht="73.5" hidden="1" customHeight="1">
      <c r="A789" s="1011" t="s">
        <v>278</v>
      </c>
      <c r="B789" s="1013"/>
      <c r="C789" s="709"/>
      <c r="D789" s="709"/>
      <c r="E789" s="709"/>
      <c r="F789" s="708"/>
      <c r="G789" s="709"/>
      <c r="H789" s="710"/>
      <c r="I789" s="545">
        <f>SUM(I790:I790)</f>
        <v>1500</v>
      </c>
      <c r="J789" s="545">
        <f>SUM(J790:J790)</f>
        <v>1000</v>
      </c>
      <c r="K789" s="545">
        <f>I789+J789</f>
        <v>2500</v>
      </c>
    </row>
    <row r="790" spans="1:11" s="510" customFormat="1" ht="74.25" hidden="1" customHeight="1">
      <c r="A790" s="1020" t="s">
        <v>1903</v>
      </c>
      <c r="B790" s="1022"/>
      <c r="C790" s="714" t="s">
        <v>1215</v>
      </c>
      <c r="D790" s="714">
        <v>5</v>
      </c>
      <c r="E790" s="714" t="s">
        <v>1998</v>
      </c>
      <c r="F790" s="833" t="s">
        <v>2235</v>
      </c>
      <c r="G790" s="827">
        <v>8100</v>
      </c>
      <c r="H790" s="834" t="s">
        <v>2445</v>
      </c>
      <c r="I790" s="717">
        <f>K790/100*60</f>
        <v>1500</v>
      </c>
      <c r="J790" s="717">
        <f>K790/100*40</f>
        <v>1000</v>
      </c>
      <c r="K790" s="717">
        <v>2500</v>
      </c>
    </row>
    <row r="791" spans="1:11" ht="73.5" hidden="1" customHeight="1">
      <c r="A791" s="1011" t="s">
        <v>312</v>
      </c>
      <c r="B791" s="1013"/>
      <c r="C791" s="709"/>
      <c r="D791" s="709"/>
      <c r="E791" s="709"/>
      <c r="F791" s="708"/>
      <c r="G791" s="709"/>
      <c r="H791" s="710"/>
      <c r="I791" s="545">
        <f>SUM(I792:I793)</f>
        <v>2400</v>
      </c>
      <c r="J791" s="545">
        <f>SUM(J792:J793)</f>
        <v>1600</v>
      </c>
      <c r="K791" s="545">
        <f>I791+J791</f>
        <v>4000</v>
      </c>
    </row>
    <row r="792" spans="1:11" s="510" customFormat="1" ht="74.25" hidden="1" customHeight="1">
      <c r="A792" s="825" t="s">
        <v>1989</v>
      </c>
      <c r="B792" s="826"/>
      <c r="C792" s="714" t="s">
        <v>1999</v>
      </c>
      <c r="D792" s="714">
        <v>35</v>
      </c>
      <c r="E792" s="714" t="s">
        <v>2000</v>
      </c>
      <c r="F792" s="1044" t="s">
        <v>2225</v>
      </c>
      <c r="G792" s="1047">
        <v>8100</v>
      </c>
      <c r="H792" s="1099" t="s">
        <v>2273</v>
      </c>
      <c r="I792" s="717">
        <f>K792/100*60</f>
        <v>600</v>
      </c>
      <c r="J792" s="717">
        <f>K792/100*40</f>
        <v>400</v>
      </c>
      <c r="K792" s="717">
        <v>1000</v>
      </c>
    </row>
    <row r="793" spans="1:11" s="510" customFormat="1" ht="74.25" hidden="1" customHeight="1">
      <c r="A793" s="825" t="s">
        <v>1990</v>
      </c>
      <c r="B793" s="826"/>
      <c r="C793" s="714" t="s">
        <v>2001</v>
      </c>
      <c r="D793" s="714">
        <v>7</v>
      </c>
      <c r="E793" s="714" t="s">
        <v>2002</v>
      </c>
      <c r="F793" s="1045"/>
      <c r="G793" s="1048"/>
      <c r="H793" s="1100"/>
      <c r="I793" s="717">
        <f>K793/100*60</f>
        <v>1800</v>
      </c>
      <c r="J793" s="717">
        <f>K793/100*40</f>
        <v>1200</v>
      </c>
      <c r="K793" s="717">
        <v>3000</v>
      </c>
    </row>
    <row r="794" spans="1:11" ht="102.75" hidden="1" customHeight="1">
      <c r="A794" s="1021" t="s">
        <v>1484</v>
      </c>
      <c r="B794" s="1021"/>
      <c r="C794" s="1021"/>
      <c r="D794" s="1021"/>
      <c r="E794" s="1021"/>
      <c r="F794" s="1021"/>
      <c r="G794" s="1021"/>
      <c r="H794" s="1021"/>
      <c r="I794" s="1021"/>
      <c r="J794" s="1021"/>
      <c r="K794" s="1021"/>
    </row>
    <row r="795" spans="1:11" s="743" customFormat="1" ht="36.75" hidden="1" customHeight="1">
      <c r="A795" s="1135"/>
      <c r="B795" s="1136"/>
      <c r="C795" s="738"/>
      <c r="D795" s="738"/>
      <c r="E795" s="739"/>
      <c r="F795" s="740"/>
      <c r="G795" s="741"/>
      <c r="H795" s="741"/>
      <c r="I795" s="742"/>
      <c r="J795" s="742"/>
      <c r="K795" s="742"/>
    </row>
    <row r="796" spans="1:11" ht="66" hidden="1" customHeight="1">
      <c r="A796" s="1031" t="s">
        <v>37</v>
      </c>
      <c r="B796" s="1033"/>
      <c r="C796" s="1037" t="s">
        <v>178</v>
      </c>
      <c r="D796" s="1037" t="s">
        <v>179</v>
      </c>
      <c r="E796" s="1037" t="s">
        <v>1521</v>
      </c>
      <c r="F796" s="1037" t="s">
        <v>14</v>
      </c>
      <c r="G796" s="1037" t="s">
        <v>1515</v>
      </c>
      <c r="H796" s="1037" t="s">
        <v>16</v>
      </c>
      <c r="I796" s="1039" t="s">
        <v>1490</v>
      </c>
      <c r="J796" s="1039" t="s">
        <v>2203</v>
      </c>
      <c r="K796" s="1037" t="s">
        <v>200</v>
      </c>
    </row>
    <row r="797" spans="1:11" s="500" customFormat="1" ht="30" hidden="1">
      <c r="A797" s="1034"/>
      <c r="B797" s="1036"/>
      <c r="C797" s="1038"/>
      <c r="D797" s="1038"/>
      <c r="E797" s="1038"/>
      <c r="F797" s="1038"/>
      <c r="G797" s="1038"/>
      <c r="H797" s="1038"/>
      <c r="I797" s="1039"/>
      <c r="J797" s="1039"/>
      <c r="K797" s="1038"/>
    </row>
    <row r="798" spans="1:11" s="500" customFormat="1" ht="74.25" hidden="1" customHeight="1">
      <c r="A798" s="1102" t="s">
        <v>2210</v>
      </c>
      <c r="B798" s="1103"/>
      <c r="C798" s="729"/>
      <c r="D798" s="729"/>
      <c r="E798" s="726"/>
      <c r="F798" s="727"/>
      <c r="G798" s="728"/>
      <c r="H798" s="728"/>
      <c r="I798" s="642">
        <f>I799+I803</f>
        <v>36599.4</v>
      </c>
      <c r="J798" s="642">
        <f>J799+J803</f>
        <v>24399.599999999999</v>
      </c>
      <c r="K798" s="642">
        <f>I798+J798</f>
        <v>60999</v>
      </c>
    </row>
    <row r="799" spans="1:11" ht="75" hidden="1" customHeight="1">
      <c r="A799" s="1011" t="s">
        <v>1541</v>
      </c>
      <c r="B799" s="1013"/>
      <c r="C799" s="709"/>
      <c r="D799" s="709"/>
      <c r="E799" s="709"/>
      <c r="F799" s="708"/>
      <c r="G799" s="709"/>
      <c r="H799" s="710"/>
      <c r="I799" s="545">
        <f>SUM(I800:I802)</f>
        <v>34200</v>
      </c>
      <c r="J799" s="545">
        <f>SUM(J800:J802)</f>
        <v>22800</v>
      </c>
      <c r="K799" s="545">
        <f>I799+J799</f>
        <v>57000</v>
      </c>
    </row>
    <row r="800" spans="1:11" s="510" customFormat="1" ht="75" hidden="1" customHeight="1">
      <c r="A800" s="1020" t="s">
        <v>2208</v>
      </c>
      <c r="B800" s="1022"/>
      <c r="C800" s="714" t="s">
        <v>1544</v>
      </c>
      <c r="D800" s="714"/>
      <c r="E800" s="714" t="s">
        <v>1544</v>
      </c>
      <c r="F800" s="829" t="s">
        <v>2246</v>
      </c>
      <c r="G800" s="1047">
        <v>8100</v>
      </c>
      <c r="H800" s="1099" t="s">
        <v>2273</v>
      </c>
      <c r="I800" s="717">
        <f>K800/100*60</f>
        <v>9000</v>
      </c>
      <c r="J800" s="717">
        <f>K800/100*40</f>
        <v>6000</v>
      </c>
      <c r="K800" s="717">
        <v>15000</v>
      </c>
    </row>
    <row r="801" spans="1:11" s="510" customFormat="1" ht="74.25" hidden="1" customHeight="1">
      <c r="A801" s="1020" t="s">
        <v>1546</v>
      </c>
      <c r="B801" s="1022"/>
      <c r="C801" s="714" t="s">
        <v>1544</v>
      </c>
      <c r="D801" s="714"/>
      <c r="E801" s="714" t="s">
        <v>1544</v>
      </c>
      <c r="F801" s="829" t="s">
        <v>2247</v>
      </c>
      <c r="G801" s="1048"/>
      <c r="H801" s="1100"/>
      <c r="I801" s="717">
        <f>K801/100*60</f>
        <v>10200</v>
      </c>
      <c r="J801" s="717">
        <f>K801/100*40</f>
        <v>6800</v>
      </c>
      <c r="K801" s="717">
        <v>17000</v>
      </c>
    </row>
    <row r="802" spans="1:11" s="510" customFormat="1" ht="74.25" hidden="1" customHeight="1">
      <c r="A802" s="1020" t="s">
        <v>2209</v>
      </c>
      <c r="B802" s="1022"/>
      <c r="C802" s="714" t="s">
        <v>1544</v>
      </c>
      <c r="D802" s="714"/>
      <c r="E802" s="714" t="s">
        <v>1544</v>
      </c>
      <c r="F802" s="829" t="s">
        <v>2248</v>
      </c>
      <c r="G802" s="1048"/>
      <c r="H802" s="1100"/>
      <c r="I802" s="717">
        <f>K802/100*60</f>
        <v>15000</v>
      </c>
      <c r="J802" s="717">
        <f>K802/100*40</f>
        <v>10000</v>
      </c>
      <c r="K802" s="717">
        <v>25000</v>
      </c>
    </row>
    <row r="803" spans="1:11" ht="73.5" hidden="1" customHeight="1">
      <c r="A803" s="1011" t="s">
        <v>312</v>
      </c>
      <c r="B803" s="1013"/>
      <c r="C803" s="709"/>
      <c r="D803" s="709"/>
      <c r="E803" s="709"/>
      <c r="F803" s="708"/>
      <c r="G803" s="709"/>
      <c r="H803" s="710"/>
      <c r="I803" s="545">
        <f>SUM(I804:I804)</f>
        <v>2399.4</v>
      </c>
      <c r="J803" s="545">
        <f>SUM(J804:J804)</f>
        <v>1599.6000000000001</v>
      </c>
      <c r="K803" s="545">
        <f>I803+J803</f>
        <v>3999</v>
      </c>
    </row>
    <row r="804" spans="1:11" s="510" customFormat="1" ht="74.25" hidden="1" customHeight="1">
      <c r="A804" s="1020" t="s">
        <v>2211</v>
      </c>
      <c r="B804" s="1022"/>
      <c r="C804" s="714" t="s">
        <v>1544</v>
      </c>
      <c r="D804" s="714"/>
      <c r="E804" s="714" t="s">
        <v>1544</v>
      </c>
      <c r="F804" s="833" t="s">
        <v>2225</v>
      </c>
      <c r="G804" s="835">
        <v>8100</v>
      </c>
      <c r="H804" s="834" t="s">
        <v>2273</v>
      </c>
      <c r="I804" s="717">
        <f>K804/100*60</f>
        <v>2399.4</v>
      </c>
      <c r="J804" s="717">
        <f>K804/100*40</f>
        <v>1599.6000000000001</v>
      </c>
      <c r="K804" s="717">
        <v>3999</v>
      </c>
    </row>
    <row r="805" spans="1:11" ht="54.75" hidden="1" customHeight="1">
      <c r="A805" s="528"/>
      <c r="B805" s="529"/>
      <c r="C805" s="529"/>
      <c r="D805" s="530"/>
      <c r="E805" s="531"/>
      <c r="F805" s="532"/>
      <c r="G805" s="533"/>
      <c r="H805" s="534"/>
      <c r="I805" s="535"/>
      <c r="J805" s="535"/>
      <c r="K805" s="535"/>
    </row>
    <row r="806" spans="1:11" ht="54.75" hidden="1" customHeight="1">
      <c r="A806" s="528"/>
      <c r="B806" s="529"/>
      <c r="C806" s="529"/>
      <c r="D806" s="530"/>
      <c r="E806" s="531"/>
      <c r="F806" s="532"/>
      <c r="G806" s="533"/>
      <c r="H806" s="649"/>
      <c r="I806" s="535"/>
      <c r="J806" s="535"/>
      <c r="K806" s="535"/>
    </row>
    <row r="807" spans="1:11" ht="34.5" hidden="1" customHeight="1">
      <c r="A807" s="1128" t="s">
        <v>51</v>
      </c>
      <c r="B807" s="1128"/>
      <c r="C807" s="1128"/>
      <c r="D807" s="1128"/>
      <c r="E807" s="1128"/>
      <c r="F807" s="1128"/>
      <c r="G807" s="1128"/>
      <c r="H807" s="1128"/>
      <c r="I807" s="1128"/>
      <c r="J807" s="1128"/>
      <c r="K807" s="1128"/>
    </row>
    <row r="808" spans="1:11" ht="30.75" hidden="1" customHeight="1">
      <c r="A808" s="1128" t="s">
        <v>52</v>
      </c>
      <c r="B808" s="1128"/>
      <c r="C808" s="1128"/>
      <c r="D808" s="1128"/>
      <c r="E808" s="1128"/>
      <c r="F808" s="1128"/>
      <c r="G808" s="1128"/>
      <c r="H808" s="1128"/>
      <c r="I808" s="1128"/>
      <c r="J808" s="1128"/>
      <c r="K808" s="1128"/>
    </row>
    <row r="809" spans="1:11" ht="33" hidden="1" customHeight="1">
      <c r="A809" s="1132" t="s">
        <v>50</v>
      </c>
      <c r="B809" s="1132"/>
      <c r="C809" s="1132"/>
      <c r="D809" s="1132"/>
      <c r="E809" s="1132"/>
      <c r="F809" s="1132"/>
      <c r="G809" s="1132"/>
      <c r="H809" s="1132"/>
      <c r="I809" s="1132"/>
      <c r="J809" s="1132"/>
      <c r="K809" s="1132"/>
    </row>
    <row r="810" spans="1:11" ht="33" hidden="1" customHeight="1">
      <c r="A810" s="154"/>
      <c r="B810" s="154"/>
      <c r="C810" s="154"/>
      <c r="D810" s="154"/>
      <c r="E810" s="154"/>
      <c r="F810" s="154"/>
      <c r="G810" s="707"/>
      <c r="H810" s="707"/>
      <c r="I810" s="707"/>
      <c r="J810" s="707"/>
      <c r="K810" s="707"/>
    </row>
    <row r="811" spans="1:11" ht="35.25" hidden="1">
      <c r="A811" s="1128" t="s">
        <v>1336</v>
      </c>
      <c r="B811" s="1128"/>
      <c r="C811" s="1128"/>
      <c r="D811" s="1128"/>
      <c r="E811" s="1128"/>
      <c r="F811" s="1128"/>
      <c r="G811" s="1128"/>
      <c r="H811" s="1128"/>
      <c r="I811" s="1128"/>
      <c r="J811" s="1128"/>
      <c r="K811" s="1128"/>
    </row>
    <row r="812" spans="1:11" s="620" customFormat="1" ht="33" hidden="1">
      <c r="A812" s="65"/>
      <c r="B812" s="65"/>
      <c r="C812" s="65"/>
      <c r="D812" s="65"/>
      <c r="E812" s="65"/>
      <c r="F812" s="65"/>
      <c r="G812" s="68"/>
      <c r="H812" s="68"/>
      <c r="I812" s="68"/>
      <c r="J812" s="68"/>
      <c r="K812" s="68"/>
    </row>
    <row r="813" spans="1:11" ht="20.100000000000001" hidden="1" customHeight="1">
      <c r="A813" s="65"/>
      <c r="B813" s="65"/>
      <c r="C813" s="65"/>
      <c r="D813" s="65"/>
      <c r="E813" s="65"/>
      <c r="F813" s="65"/>
      <c r="G813" s="68"/>
      <c r="H813" s="68"/>
      <c r="I813" s="68"/>
      <c r="J813" s="68"/>
      <c r="K813" s="68"/>
    </row>
    <row r="814" spans="1:11" ht="20.100000000000001" hidden="1" customHeight="1">
      <c r="A814" s="979"/>
      <c r="B814" s="979"/>
      <c r="C814" s="979"/>
      <c r="D814" s="979"/>
      <c r="E814" s="979"/>
      <c r="F814" s="979"/>
      <c r="G814" s="979"/>
      <c r="H814" s="979"/>
      <c r="I814" s="979"/>
      <c r="J814" s="979"/>
      <c r="K814" s="979"/>
    </row>
    <row r="815" spans="1:11" ht="45.75" hidden="1" customHeight="1">
      <c r="A815" s="1030" t="s">
        <v>1383</v>
      </c>
      <c r="B815" s="1030"/>
      <c r="C815" s="1030"/>
      <c r="D815" s="1030"/>
      <c r="E815" s="1030"/>
      <c r="F815" s="1030"/>
      <c r="G815" s="1030"/>
      <c r="H815" s="1030"/>
      <c r="I815" s="1030"/>
      <c r="J815" s="1030"/>
      <c r="K815" s="1030"/>
    </row>
    <row r="816" spans="1:11" ht="66" hidden="1" customHeight="1">
      <c r="A816" s="1031" t="s">
        <v>37</v>
      </c>
      <c r="B816" s="1033"/>
      <c r="C816" s="1037" t="s">
        <v>178</v>
      </c>
      <c r="D816" s="1037" t="s">
        <v>179</v>
      </c>
      <c r="E816" s="1037" t="s">
        <v>1521</v>
      </c>
      <c r="F816" s="1037" t="s">
        <v>14</v>
      </c>
      <c r="G816" s="1037" t="s">
        <v>1515</v>
      </c>
      <c r="H816" s="1037" t="s">
        <v>16</v>
      </c>
      <c r="I816" s="1039" t="s">
        <v>1490</v>
      </c>
      <c r="J816" s="1039" t="s">
        <v>2203</v>
      </c>
      <c r="K816" s="1037" t="s">
        <v>200</v>
      </c>
    </row>
    <row r="817" spans="1:11" s="500" customFormat="1" ht="30" hidden="1">
      <c r="A817" s="1034"/>
      <c r="B817" s="1036"/>
      <c r="C817" s="1038"/>
      <c r="D817" s="1038"/>
      <c r="E817" s="1038"/>
      <c r="F817" s="1038"/>
      <c r="G817" s="1038"/>
      <c r="H817" s="1038"/>
      <c r="I817" s="1039"/>
      <c r="J817" s="1039"/>
      <c r="K817" s="1038"/>
    </row>
    <row r="818" spans="1:11" s="500" customFormat="1" ht="74.25" hidden="1" customHeight="1">
      <c r="A818" s="1102" t="s">
        <v>2116</v>
      </c>
      <c r="B818" s="1103"/>
      <c r="C818" s="729"/>
      <c r="D818" s="729"/>
      <c r="E818" s="726"/>
      <c r="F818" s="727"/>
      <c r="G818" s="728"/>
      <c r="H818" s="728"/>
      <c r="I818" s="642">
        <f>I819+I828+I826</f>
        <v>40920</v>
      </c>
      <c r="J818" s="642">
        <f>J819+J828+J826</f>
        <v>27280</v>
      </c>
      <c r="K818" s="642">
        <f>I818+J818</f>
        <v>68200</v>
      </c>
    </row>
    <row r="819" spans="1:11" ht="75" hidden="1" customHeight="1">
      <c r="A819" s="1011" t="s">
        <v>1541</v>
      </c>
      <c r="B819" s="1013"/>
      <c r="C819" s="709"/>
      <c r="D819" s="709"/>
      <c r="E819" s="709"/>
      <c r="F819" s="708"/>
      <c r="G819" s="709"/>
      <c r="H819" s="710"/>
      <c r="I819" s="545">
        <f>SUM(I820:I825)</f>
        <v>32050.799999999999</v>
      </c>
      <c r="J819" s="545">
        <f>SUM(J820:J825)</f>
        <v>21367.200000000001</v>
      </c>
      <c r="K819" s="545">
        <f>I819+J819</f>
        <v>53418</v>
      </c>
    </row>
    <row r="820" spans="1:11" s="510" customFormat="1" ht="74.25" hidden="1" customHeight="1">
      <c r="A820" s="1020" t="s">
        <v>2117</v>
      </c>
      <c r="B820" s="1022"/>
      <c r="C820" s="714" t="s">
        <v>2126</v>
      </c>
      <c r="D820" s="714">
        <v>2</v>
      </c>
      <c r="E820" s="714" t="s">
        <v>2132</v>
      </c>
      <c r="F820" s="1044" t="s">
        <v>2229</v>
      </c>
      <c r="G820" s="1047">
        <v>8100</v>
      </c>
      <c r="H820" s="1099" t="s">
        <v>2273</v>
      </c>
      <c r="I820" s="717">
        <f t="shared" ref="I820:I825" si="31">K820/100*60</f>
        <v>6000</v>
      </c>
      <c r="J820" s="717">
        <f t="shared" ref="J820:J825" si="32">K820/100*40</f>
        <v>4000</v>
      </c>
      <c r="K820" s="717">
        <v>10000</v>
      </c>
    </row>
    <row r="821" spans="1:11" s="510" customFormat="1" ht="75" hidden="1" customHeight="1">
      <c r="A821" s="1020" t="s">
        <v>2118</v>
      </c>
      <c r="B821" s="1022"/>
      <c r="C821" s="714" t="s">
        <v>2127</v>
      </c>
      <c r="D821" s="714">
        <v>40</v>
      </c>
      <c r="E821" s="714" t="s">
        <v>2133</v>
      </c>
      <c r="F821" s="1045"/>
      <c r="G821" s="1048"/>
      <c r="H821" s="1100"/>
      <c r="I821" s="717">
        <f t="shared" si="31"/>
        <v>6000</v>
      </c>
      <c r="J821" s="717">
        <f t="shared" si="32"/>
        <v>4000</v>
      </c>
      <c r="K821" s="717">
        <v>10000</v>
      </c>
    </row>
    <row r="822" spans="1:11" s="510" customFormat="1" ht="75" hidden="1" customHeight="1">
      <c r="A822" s="1020" t="s">
        <v>2119</v>
      </c>
      <c r="B822" s="1022"/>
      <c r="C822" s="714" t="s">
        <v>2128</v>
      </c>
      <c r="D822" s="714">
        <v>60</v>
      </c>
      <c r="E822" s="714" t="s">
        <v>2132</v>
      </c>
      <c r="F822" s="829" t="s">
        <v>2230</v>
      </c>
      <c r="G822" s="1048"/>
      <c r="H822" s="1100"/>
      <c r="I822" s="717">
        <f t="shared" si="31"/>
        <v>8050.8</v>
      </c>
      <c r="J822" s="717">
        <f t="shared" si="32"/>
        <v>5367.2000000000007</v>
      </c>
      <c r="K822" s="717">
        <v>13418</v>
      </c>
    </row>
    <row r="823" spans="1:11" s="510" customFormat="1" ht="75" hidden="1" customHeight="1">
      <c r="A823" s="1020" t="s">
        <v>2120</v>
      </c>
      <c r="B823" s="1022"/>
      <c r="C823" s="714" t="s">
        <v>1934</v>
      </c>
      <c r="D823" s="714">
        <v>10</v>
      </c>
      <c r="E823" s="714" t="s">
        <v>2134</v>
      </c>
      <c r="F823" s="1044" t="s">
        <v>2231</v>
      </c>
      <c r="G823" s="1048"/>
      <c r="H823" s="1100"/>
      <c r="I823" s="717">
        <f t="shared" si="31"/>
        <v>6000</v>
      </c>
      <c r="J823" s="717">
        <f t="shared" si="32"/>
        <v>4000</v>
      </c>
      <c r="K823" s="717">
        <v>10000</v>
      </c>
    </row>
    <row r="824" spans="1:11" s="510" customFormat="1" ht="75" hidden="1" customHeight="1">
      <c r="A824" s="1020" t="s">
        <v>2121</v>
      </c>
      <c r="B824" s="1022"/>
      <c r="C824" s="714" t="s">
        <v>2129</v>
      </c>
      <c r="D824" s="714">
        <v>5</v>
      </c>
      <c r="E824" s="714" t="s">
        <v>2132</v>
      </c>
      <c r="F824" s="1045"/>
      <c r="G824" s="1048"/>
      <c r="H824" s="1100"/>
      <c r="I824" s="717">
        <f t="shared" si="31"/>
        <v>3000</v>
      </c>
      <c r="J824" s="717">
        <f t="shared" si="32"/>
        <v>2000</v>
      </c>
      <c r="K824" s="717">
        <v>5000</v>
      </c>
    </row>
    <row r="825" spans="1:11" s="510" customFormat="1" ht="75" hidden="1" customHeight="1">
      <c r="A825" s="1020" t="s">
        <v>2122</v>
      </c>
      <c r="B825" s="1022"/>
      <c r="C825" s="714" t="s">
        <v>2130</v>
      </c>
      <c r="D825" s="714">
        <v>10</v>
      </c>
      <c r="E825" s="714" t="s">
        <v>2134</v>
      </c>
      <c r="F825" s="1046"/>
      <c r="G825" s="1049"/>
      <c r="H825" s="1101"/>
      <c r="I825" s="717">
        <f t="shared" si="31"/>
        <v>3000</v>
      </c>
      <c r="J825" s="717">
        <f t="shared" si="32"/>
        <v>2000</v>
      </c>
      <c r="K825" s="717">
        <v>5000</v>
      </c>
    </row>
    <row r="826" spans="1:11" ht="74.25" hidden="1" customHeight="1">
      <c r="A826" s="1011" t="s">
        <v>278</v>
      </c>
      <c r="B826" s="1013"/>
      <c r="C826" s="504"/>
      <c r="D826" s="709"/>
      <c r="E826" s="709"/>
      <c r="F826" s="708"/>
      <c r="G826" s="709"/>
      <c r="H826" s="710"/>
      <c r="I826" s="545">
        <f>SUM(I827)</f>
        <v>2869.2</v>
      </c>
      <c r="J826" s="545">
        <f>SUM(J827)</f>
        <v>1912.8</v>
      </c>
      <c r="K826" s="545">
        <f>I826+J826</f>
        <v>4782</v>
      </c>
    </row>
    <row r="827" spans="1:11" s="510" customFormat="1" ht="74.25" hidden="1" customHeight="1">
      <c r="A827" s="1020" t="s">
        <v>2004</v>
      </c>
      <c r="B827" s="1022"/>
      <c r="C827" s="714" t="s">
        <v>1215</v>
      </c>
      <c r="D827" s="714">
        <v>8</v>
      </c>
      <c r="E827" s="725" t="s">
        <v>2125</v>
      </c>
      <c r="F827" s="833" t="s">
        <v>2234</v>
      </c>
      <c r="G827" s="835">
        <v>8100</v>
      </c>
      <c r="H827" s="834" t="s">
        <v>2445</v>
      </c>
      <c r="I827" s="717">
        <f>K827/100*60</f>
        <v>2869.2</v>
      </c>
      <c r="J827" s="717">
        <f>K827/100*40</f>
        <v>1912.8</v>
      </c>
      <c r="K827" s="717">
        <v>4782</v>
      </c>
    </row>
    <row r="828" spans="1:11" ht="73.5" hidden="1" customHeight="1">
      <c r="A828" s="1011" t="s">
        <v>312</v>
      </c>
      <c r="B828" s="1013"/>
      <c r="C828" s="709"/>
      <c r="D828" s="709"/>
      <c r="E828" s="709"/>
      <c r="F828" s="708"/>
      <c r="G828" s="709"/>
      <c r="H828" s="710"/>
      <c r="I828" s="545">
        <f>SUM(I829:I830)</f>
        <v>6000</v>
      </c>
      <c r="J828" s="545">
        <f>SUM(J829:J830)</f>
        <v>4000</v>
      </c>
      <c r="K828" s="545">
        <f>I828+J828</f>
        <v>10000</v>
      </c>
    </row>
    <row r="829" spans="1:11" s="510" customFormat="1" ht="74.25" hidden="1" customHeight="1">
      <c r="A829" s="1020" t="s">
        <v>2123</v>
      </c>
      <c r="B829" s="1022"/>
      <c r="C829" s="714" t="s">
        <v>2131</v>
      </c>
      <c r="D829" s="714">
        <v>3</v>
      </c>
      <c r="E829" s="714" t="s">
        <v>2135</v>
      </c>
      <c r="F829" s="1044" t="s">
        <v>2224</v>
      </c>
      <c r="G829" s="1047">
        <v>8100</v>
      </c>
      <c r="H829" s="1099" t="s">
        <v>2273</v>
      </c>
      <c r="I829" s="717">
        <f>K829/100*60</f>
        <v>3000</v>
      </c>
      <c r="J829" s="717">
        <f>K829/100*40</f>
        <v>2000</v>
      </c>
      <c r="K829" s="717">
        <v>5000</v>
      </c>
    </row>
    <row r="830" spans="1:11" s="510" customFormat="1" ht="74.25" hidden="1" customHeight="1">
      <c r="A830" s="1020" t="s">
        <v>2124</v>
      </c>
      <c r="B830" s="1022"/>
      <c r="C830" s="714" t="s">
        <v>2131</v>
      </c>
      <c r="D830" s="714">
        <v>3</v>
      </c>
      <c r="E830" s="714" t="s">
        <v>2136</v>
      </c>
      <c r="F830" s="1046"/>
      <c r="G830" s="1049"/>
      <c r="H830" s="1101"/>
      <c r="I830" s="717">
        <f>K830/100*60</f>
        <v>3000</v>
      </c>
      <c r="J830" s="717">
        <f>K830/100*40</f>
        <v>2000</v>
      </c>
      <c r="K830" s="717">
        <v>5000</v>
      </c>
    </row>
    <row r="831" spans="1:11" s="743" customFormat="1" ht="36.75" hidden="1" customHeight="1">
      <c r="A831" s="1135"/>
      <c r="B831" s="1136"/>
      <c r="C831" s="738"/>
      <c r="D831" s="738"/>
      <c r="E831" s="739"/>
      <c r="F831" s="740"/>
      <c r="G831" s="741"/>
      <c r="H831" s="741"/>
      <c r="I831" s="742"/>
      <c r="J831" s="742"/>
      <c r="K831" s="742"/>
    </row>
    <row r="832" spans="1:11" ht="66" hidden="1" customHeight="1">
      <c r="A832" s="1031" t="s">
        <v>37</v>
      </c>
      <c r="B832" s="1033"/>
      <c r="C832" s="1037" t="s">
        <v>178</v>
      </c>
      <c r="D832" s="1037" t="s">
        <v>179</v>
      </c>
      <c r="E832" s="1037" t="s">
        <v>1521</v>
      </c>
      <c r="F832" s="1037" t="s">
        <v>14</v>
      </c>
      <c r="G832" s="1037" t="s">
        <v>1515</v>
      </c>
      <c r="H832" s="1037" t="s">
        <v>16</v>
      </c>
      <c r="I832" s="1039" t="s">
        <v>1490</v>
      </c>
      <c r="J832" s="1039" t="s">
        <v>2203</v>
      </c>
      <c r="K832" s="1037" t="s">
        <v>200</v>
      </c>
    </row>
    <row r="833" spans="1:11" s="500" customFormat="1" ht="30" hidden="1">
      <c r="A833" s="1034"/>
      <c r="B833" s="1036"/>
      <c r="C833" s="1038"/>
      <c r="D833" s="1038"/>
      <c r="E833" s="1038"/>
      <c r="F833" s="1038"/>
      <c r="G833" s="1038"/>
      <c r="H833" s="1038"/>
      <c r="I833" s="1039"/>
      <c r="J833" s="1039"/>
      <c r="K833" s="1038"/>
    </row>
    <row r="834" spans="1:11" s="500" customFormat="1" ht="74.25" hidden="1" customHeight="1">
      <c r="A834" s="1102" t="s">
        <v>2191</v>
      </c>
      <c r="B834" s="1103"/>
      <c r="C834" s="729"/>
      <c r="D834" s="729"/>
      <c r="E834" s="726"/>
      <c r="F834" s="727"/>
      <c r="G834" s="728"/>
      <c r="H834" s="728"/>
      <c r="I834" s="642">
        <f>I835+I842+I840</f>
        <v>135962.4</v>
      </c>
      <c r="J834" s="642">
        <f>J835+J842+J840</f>
        <v>90641.600000000006</v>
      </c>
      <c r="K834" s="642">
        <f>I834+J834</f>
        <v>226604</v>
      </c>
    </row>
    <row r="835" spans="1:11" ht="75" hidden="1" customHeight="1">
      <c r="A835" s="1011" t="s">
        <v>1541</v>
      </c>
      <c r="B835" s="1013"/>
      <c r="C835" s="709"/>
      <c r="D835" s="709"/>
      <c r="E835" s="709"/>
      <c r="F835" s="708"/>
      <c r="G835" s="709"/>
      <c r="H835" s="710"/>
      <c r="I835" s="545">
        <f>SUM(I836:I839)</f>
        <v>110462.39999999999</v>
      </c>
      <c r="J835" s="545">
        <f>SUM(J836:J839)</f>
        <v>73641.600000000006</v>
      </c>
      <c r="K835" s="545">
        <f>I835+J835</f>
        <v>184104</v>
      </c>
    </row>
    <row r="836" spans="1:11" s="510" customFormat="1" ht="75" hidden="1" customHeight="1">
      <c r="A836" s="1020" t="s">
        <v>2193</v>
      </c>
      <c r="B836" s="1022"/>
      <c r="C836" s="714" t="s">
        <v>1544</v>
      </c>
      <c r="D836" s="714"/>
      <c r="E836" s="714" t="s">
        <v>1544</v>
      </c>
      <c r="F836" s="829" t="s">
        <v>2229</v>
      </c>
      <c r="G836" s="1047">
        <v>8100</v>
      </c>
      <c r="H836" s="1099" t="s">
        <v>2273</v>
      </c>
      <c r="I836" s="717">
        <f>K836/100*60</f>
        <v>88262.399999999994</v>
      </c>
      <c r="J836" s="717">
        <f>K836/100*40</f>
        <v>58841.599999999999</v>
      </c>
      <c r="K836" s="717">
        <v>147104</v>
      </c>
    </row>
    <row r="837" spans="1:11" s="510" customFormat="1" ht="75" hidden="1" customHeight="1">
      <c r="A837" s="1020" t="s">
        <v>2192</v>
      </c>
      <c r="B837" s="1022"/>
      <c r="C837" s="714" t="s">
        <v>147</v>
      </c>
      <c r="D837" s="714">
        <v>1</v>
      </c>
      <c r="E837" s="714" t="s">
        <v>2198</v>
      </c>
      <c r="F837" s="833" t="s">
        <v>2236</v>
      </c>
      <c r="G837" s="1048"/>
      <c r="H837" s="1100"/>
      <c r="I837" s="717">
        <f>K837/100*60</f>
        <v>9000</v>
      </c>
      <c r="J837" s="717">
        <f>K837/100*40</f>
        <v>6000</v>
      </c>
      <c r="K837" s="717">
        <v>15000</v>
      </c>
    </row>
    <row r="838" spans="1:11" s="510" customFormat="1" ht="74.25" hidden="1" customHeight="1">
      <c r="A838" s="1020" t="s">
        <v>2194</v>
      </c>
      <c r="B838" s="1022"/>
      <c r="C838" s="714" t="s">
        <v>1934</v>
      </c>
      <c r="D838" s="714">
        <v>35</v>
      </c>
      <c r="E838" s="714" t="s">
        <v>2199</v>
      </c>
      <c r="F838" s="1044" t="s">
        <v>2231</v>
      </c>
      <c r="G838" s="1048"/>
      <c r="H838" s="1100"/>
      <c r="I838" s="717">
        <f>K838/100*60</f>
        <v>10200</v>
      </c>
      <c r="J838" s="717">
        <f>K838/100*40</f>
        <v>6800</v>
      </c>
      <c r="K838" s="717">
        <v>17000</v>
      </c>
    </row>
    <row r="839" spans="1:11" s="510" customFormat="1" ht="75" hidden="1" customHeight="1">
      <c r="A839" s="1020" t="s">
        <v>2195</v>
      </c>
      <c r="B839" s="1022"/>
      <c r="C839" s="714" t="s">
        <v>2200</v>
      </c>
      <c r="D839" s="714">
        <v>22</v>
      </c>
      <c r="E839" s="714" t="s">
        <v>2199</v>
      </c>
      <c r="F839" s="1046"/>
      <c r="G839" s="1048"/>
      <c r="H839" s="1100"/>
      <c r="I839" s="717">
        <f>K839/100*60</f>
        <v>3000</v>
      </c>
      <c r="J839" s="717">
        <f>K839/100*40</f>
        <v>2000</v>
      </c>
      <c r="K839" s="717">
        <v>5000</v>
      </c>
    </row>
    <row r="840" spans="1:11" ht="74.25" hidden="1" customHeight="1">
      <c r="A840" s="1011" t="s">
        <v>278</v>
      </c>
      <c r="B840" s="1013"/>
      <c r="C840" s="504"/>
      <c r="D840" s="709"/>
      <c r="E840" s="709"/>
      <c r="F840" s="708"/>
      <c r="G840" s="709"/>
      <c r="H840" s="710"/>
      <c r="I840" s="545">
        <f>SUM(I841)</f>
        <v>12000</v>
      </c>
      <c r="J840" s="545">
        <f>SUM(J841)</f>
        <v>8000</v>
      </c>
      <c r="K840" s="545">
        <f>I840+J840</f>
        <v>20000</v>
      </c>
    </row>
    <row r="841" spans="1:11" s="510" customFormat="1" ht="74.25" hidden="1" customHeight="1">
      <c r="A841" s="1020" t="s">
        <v>2004</v>
      </c>
      <c r="B841" s="1022"/>
      <c r="C841" s="714" t="s">
        <v>1215</v>
      </c>
      <c r="D841" s="714">
        <v>5</v>
      </c>
      <c r="E841" s="725" t="s">
        <v>2201</v>
      </c>
      <c r="F841" s="833" t="s">
        <v>2234</v>
      </c>
      <c r="G841" s="835">
        <v>8100</v>
      </c>
      <c r="H841" s="834" t="s">
        <v>2445</v>
      </c>
      <c r="I841" s="717">
        <f>K841/100*60</f>
        <v>12000</v>
      </c>
      <c r="J841" s="717">
        <f>K841/100*40</f>
        <v>8000</v>
      </c>
      <c r="K841" s="717">
        <v>20000</v>
      </c>
    </row>
    <row r="842" spans="1:11" ht="73.5" hidden="1" customHeight="1">
      <c r="A842" s="1011" t="s">
        <v>312</v>
      </c>
      <c r="B842" s="1013"/>
      <c r="C842" s="709"/>
      <c r="D842" s="709"/>
      <c r="E842" s="709"/>
      <c r="F842" s="708"/>
      <c r="G842" s="709"/>
      <c r="H842" s="710"/>
      <c r="I842" s="545">
        <f>SUM(I843:I844)</f>
        <v>13500</v>
      </c>
      <c r="J842" s="545">
        <f>SUM(J843:J844)</f>
        <v>9000</v>
      </c>
      <c r="K842" s="545">
        <f>I842+J842</f>
        <v>22500</v>
      </c>
    </row>
    <row r="843" spans="1:11" s="510" customFormat="1" ht="74.25" hidden="1" customHeight="1">
      <c r="A843" s="1020" t="s">
        <v>2197</v>
      </c>
      <c r="B843" s="1022"/>
      <c r="C843" s="714" t="s">
        <v>1544</v>
      </c>
      <c r="D843" s="714"/>
      <c r="E843" s="714" t="s">
        <v>1544</v>
      </c>
      <c r="F843" s="1044" t="s">
        <v>2224</v>
      </c>
      <c r="G843" s="1047">
        <v>8100</v>
      </c>
      <c r="H843" s="1099" t="s">
        <v>2273</v>
      </c>
      <c r="I843" s="717">
        <f>K843/100*60</f>
        <v>10500</v>
      </c>
      <c r="J843" s="717">
        <f>K843/100*40</f>
        <v>7000</v>
      </c>
      <c r="K843" s="717">
        <v>17500</v>
      </c>
    </row>
    <row r="844" spans="1:11" s="510" customFormat="1" ht="74.25" hidden="1" customHeight="1">
      <c r="A844" s="1020" t="s">
        <v>2196</v>
      </c>
      <c r="B844" s="1022"/>
      <c r="C844" s="714" t="s">
        <v>2202</v>
      </c>
      <c r="D844" s="714">
        <v>10</v>
      </c>
      <c r="E844" s="714" t="s">
        <v>2199</v>
      </c>
      <c r="F844" s="1046"/>
      <c r="G844" s="1049"/>
      <c r="H844" s="1101"/>
      <c r="I844" s="717">
        <f>K844/100*60</f>
        <v>3000</v>
      </c>
      <c r="J844" s="717">
        <f>K844/100*40</f>
        <v>2000</v>
      </c>
      <c r="K844" s="717">
        <v>5000</v>
      </c>
    </row>
    <row r="845" spans="1:11" ht="102" hidden="1" customHeight="1">
      <c r="A845" s="1141"/>
      <c r="B845" s="1141"/>
      <c r="C845" s="1141"/>
      <c r="D845" s="1141"/>
      <c r="E845" s="1141"/>
      <c r="F845" s="1141"/>
      <c r="G845" s="1141"/>
      <c r="H845" s="1141"/>
      <c r="I845" s="1141"/>
      <c r="J845" s="1141"/>
      <c r="K845" s="1141"/>
    </row>
    <row r="846" spans="1:11" ht="102" hidden="1" customHeight="1">
      <c r="A846" s="753"/>
      <c r="B846" s="753"/>
      <c r="C846" s="753"/>
      <c r="D846" s="753"/>
      <c r="E846" s="753"/>
      <c r="F846" s="753"/>
      <c r="G846" s="753"/>
      <c r="H846" s="753"/>
      <c r="I846" s="753"/>
      <c r="J846" s="753"/>
      <c r="K846" s="753"/>
    </row>
    <row r="847" spans="1:11" ht="102" hidden="1" customHeight="1">
      <c r="A847" s="753"/>
      <c r="B847" s="753"/>
      <c r="C847" s="753"/>
      <c r="D847" s="753"/>
      <c r="E847" s="753"/>
      <c r="F847" s="753"/>
      <c r="G847" s="753"/>
      <c r="H847" s="753"/>
      <c r="I847" s="753"/>
      <c r="J847" s="753"/>
      <c r="K847" s="753"/>
    </row>
    <row r="848" spans="1:11" ht="102" hidden="1" customHeight="1">
      <c r="A848" s="753"/>
      <c r="B848" s="753"/>
      <c r="C848" s="753"/>
      <c r="D848" s="753"/>
      <c r="E848" s="753"/>
      <c r="F848" s="753"/>
      <c r="G848" s="753"/>
      <c r="H848" s="753"/>
      <c r="I848" s="753"/>
      <c r="J848" s="753"/>
      <c r="K848" s="753"/>
    </row>
    <row r="849" spans="1:11" ht="34.5" hidden="1" customHeight="1">
      <c r="A849" s="1128" t="s">
        <v>51</v>
      </c>
      <c r="B849" s="1128"/>
      <c r="C849" s="1128"/>
      <c r="D849" s="1128"/>
      <c r="E849" s="1128"/>
      <c r="F849" s="1128"/>
      <c r="G849" s="1128"/>
      <c r="H849" s="1128"/>
      <c r="I849" s="1128"/>
      <c r="J849" s="1128"/>
      <c r="K849" s="1128"/>
    </row>
    <row r="850" spans="1:11" ht="30.75" hidden="1" customHeight="1">
      <c r="A850" s="1128" t="s">
        <v>52</v>
      </c>
      <c r="B850" s="1128"/>
      <c r="C850" s="1128"/>
      <c r="D850" s="1128"/>
      <c r="E850" s="1128"/>
      <c r="F850" s="1128"/>
      <c r="G850" s="1128"/>
      <c r="H850" s="1128"/>
      <c r="I850" s="1128"/>
      <c r="J850" s="1128"/>
      <c r="K850" s="1128"/>
    </row>
    <row r="851" spans="1:11" ht="33" hidden="1" customHeight="1">
      <c r="A851" s="1132" t="s">
        <v>50</v>
      </c>
      <c r="B851" s="1132"/>
      <c r="C851" s="1132"/>
      <c r="D851" s="1132"/>
      <c r="E851" s="1132"/>
      <c r="F851" s="1132"/>
      <c r="G851" s="1132"/>
      <c r="H851" s="1132"/>
      <c r="I851" s="1132"/>
      <c r="J851" s="1132"/>
      <c r="K851" s="1132"/>
    </row>
    <row r="852" spans="1:11" ht="33" hidden="1" customHeight="1">
      <c r="A852" s="154"/>
      <c r="B852" s="154"/>
      <c r="C852" s="154"/>
      <c r="D852" s="154"/>
      <c r="E852" s="154"/>
      <c r="F852" s="154"/>
      <c r="G852" s="707"/>
      <c r="H852" s="707"/>
      <c r="I852" s="707"/>
      <c r="J852" s="707"/>
      <c r="K852" s="707"/>
    </row>
    <row r="853" spans="1:11" ht="35.25" hidden="1">
      <c r="A853" s="1128" t="s">
        <v>1336</v>
      </c>
      <c r="B853" s="1128"/>
      <c r="C853" s="1128"/>
      <c r="D853" s="1128"/>
      <c r="E853" s="1128"/>
      <c r="F853" s="1128"/>
      <c r="G853" s="1128"/>
      <c r="H853" s="1128"/>
      <c r="I853" s="1128"/>
      <c r="J853" s="1128"/>
      <c r="K853" s="1128"/>
    </row>
    <row r="854" spans="1:11" s="620" customFormat="1" ht="33" hidden="1">
      <c r="A854" s="65"/>
      <c r="B854" s="65"/>
      <c r="C854" s="65"/>
      <c r="D854" s="65"/>
      <c r="E854" s="65"/>
      <c r="F854" s="65"/>
      <c r="G854" s="68"/>
      <c r="H854" s="68"/>
      <c r="I854" s="68"/>
      <c r="J854" s="68"/>
      <c r="K854" s="68"/>
    </row>
    <row r="855" spans="1:11" ht="20.100000000000001" hidden="1" customHeight="1">
      <c r="A855" s="65"/>
      <c r="B855" s="65"/>
      <c r="C855" s="65"/>
      <c r="D855" s="65"/>
      <c r="E855" s="65"/>
      <c r="F855" s="65"/>
      <c r="G855" s="68"/>
      <c r="H855" s="68"/>
      <c r="I855" s="68"/>
      <c r="J855" s="68"/>
      <c r="K855" s="68"/>
    </row>
    <row r="856" spans="1:11" ht="20.100000000000001" hidden="1" customHeight="1">
      <c r="A856" s="979"/>
      <c r="B856" s="979"/>
      <c r="C856" s="979"/>
      <c r="D856" s="979"/>
      <c r="E856" s="979"/>
      <c r="F856" s="979"/>
      <c r="G856" s="979"/>
      <c r="H856" s="979"/>
      <c r="I856" s="979"/>
      <c r="J856" s="979"/>
      <c r="K856" s="979"/>
    </row>
    <row r="857" spans="1:11" ht="45.75" hidden="1" customHeight="1">
      <c r="A857" s="1030" t="s">
        <v>1383</v>
      </c>
      <c r="B857" s="1030"/>
      <c r="C857" s="1030"/>
      <c r="D857" s="1030"/>
      <c r="E857" s="1030"/>
      <c r="F857" s="1030"/>
      <c r="G857" s="1030"/>
      <c r="H857" s="1030"/>
      <c r="I857" s="1030"/>
      <c r="J857" s="1030"/>
      <c r="K857" s="1030"/>
    </row>
    <row r="858" spans="1:11" ht="66" hidden="1" customHeight="1">
      <c r="A858" s="1031" t="s">
        <v>37</v>
      </c>
      <c r="B858" s="1033"/>
      <c r="C858" s="1037" t="s">
        <v>178</v>
      </c>
      <c r="D858" s="1037" t="s">
        <v>179</v>
      </c>
      <c r="E858" s="1037" t="s">
        <v>1521</v>
      </c>
      <c r="F858" s="1037" t="s">
        <v>14</v>
      </c>
      <c r="G858" s="1037" t="s">
        <v>1515</v>
      </c>
      <c r="H858" s="1037" t="s">
        <v>16</v>
      </c>
      <c r="I858" s="1039" t="s">
        <v>1490</v>
      </c>
      <c r="J858" s="1039" t="s">
        <v>2203</v>
      </c>
      <c r="K858" s="1037" t="s">
        <v>200</v>
      </c>
    </row>
    <row r="859" spans="1:11" s="500" customFormat="1" ht="30" hidden="1">
      <c r="A859" s="1034"/>
      <c r="B859" s="1036"/>
      <c r="C859" s="1038"/>
      <c r="D859" s="1038"/>
      <c r="E859" s="1038"/>
      <c r="F859" s="1038"/>
      <c r="G859" s="1038"/>
      <c r="H859" s="1038"/>
      <c r="I859" s="1039"/>
      <c r="J859" s="1039"/>
      <c r="K859" s="1038"/>
    </row>
    <row r="860" spans="1:11" s="500" customFormat="1" ht="74.25" hidden="1" customHeight="1">
      <c r="A860" s="1102" t="s">
        <v>2156</v>
      </c>
      <c r="B860" s="1103"/>
      <c r="C860" s="729"/>
      <c r="D860" s="729"/>
      <c r="E860" s="726"/>
      <c r="F860" s="727"/>
      <c r="G860" s="728"/>
      <c r="H860" s="728"/>
      <c r="I860" s="642">
        <f>I861+I870+I868</f>
        <v>44463</v>
      </c>
      <c r="J860" s="642">
        <f>J861+J870+J868</f>
        <v>29642</v>
      </c>
      <c r="K860" s="642">
        <f>I860+J860</f>
        <v>74105</v>
      </c>
    </row>
    <row r="861" spans="1:11" ht="75" hidden="1" customHeight="1">
      <c r="A861" s="1011" t="s">
        <v>1541</v>
      </c>
      <c r="B861" s="1013"/>
      <c r="C861" s="709"/>
      <c r="D861" s="709"/>
      <c r="E861" s="709"/>
      <c r="F861" s="708"/>
      <c r="G861" s="709"/>
      <c r="H861" s="710"/>
      <c r="I861" s="545">
        <f>SUM(I862:I867)</f>
        <v>32463</v>
      </c>
      <c r="J861" s="545">
        <f>SUM(J862:J867)</f>
        <v>21642</v>
      </c>
      <c r="K861" s="545">
        <f>I861+J861</f>
        <v>54105</v>
      </c>
    </row>
    <row r="862" spans="1:11" s="510" customFormat="1" ht="75" hidden="1" customHeight="1">
      <c r="A862" s="1020" t="s">
        <v>2157</v>
      </c>
      <c r="B862" s="1022"/>
      <c r="C862" s="714" t="s">
        <v>2163</v>
      </c>
      <c r="D862" s="714">
        <v>2</v>
      </c>
      <c r="E862" s="714" t="s">
        <v>2167</v>
      </c>
      <c r="F862" s="1044" t="s">
        <v>2229</v>
      </c>
      <c r="G862" s="1047">
        <v>8100</v>
      </c>
      <c r="H862" s="1099" t="s">
        <v>2273</v>
      </c>
      <c r="I862" s="717">
        <f t="shared" ref="I862:I867" si="33">K862/100*60</f>
        <v>2400</v>
      </c>
      <c r="J862" s="717">
        <f t="shared" ref="J862:J867" si="34">K862/100*40</f>
        <v>1600</v>
      </c>
      <c r="K862" s="717">
        <v>4000</v>
      </c>
    </row>
    <row r="863" spans="1:11" s="510" customFormat="1" ht="75" hidden="1" customHeight="1">
      <c r="A863" s="1020" t="s">
        <v>2159</v>
      </c>
      <c r="B863" s="1022"/>
      <c r="C863" s="714" t="s">
        <v>2164</v>
      </c>
      <c r="D863" s="714">
        <v>6</v>
      </c>
      <c r="E863" s="714" t="s">
        <v>2168</v>
      </c>
      <c r="F863" s="1045"/>
      <c r="G863" s="1048"/>
      <c r="H863" s="1100"/>
      <c r="I863" s="717">
        <f t="shared" si="33"/>
        <v>2463</v>
      </c>
      <c r="J863" s="717">
        <f t="shared" si="34"/>
        <v>1642</v>
      </c>
      <c r="K863" s="717">
        <v>4105</v>
      </c>
    </row>
    <row r="864" spans="1:11" s="510" customFormat="1" ht="74.25" hidden="1" customHeight="1">
      <c r="A864" s="1020" t="s">
        <v>1606</v>
      </c>
      <c r="B864" s="1022"/>
      <c r="C864" s="714" t="s">
        <v>1801</v>
      </c>
      <c r="D864" s="714">
        <v>100</v>
      </c>
      <c r="E864" s="714" t="s">
        <v>2169</v>
      </c>
      <c r="F864" s="1044" t="s">
        <v>2236</v>
      </c>
      <c r="G864" s="1048"/>
      <c r="H864" s="1100"/>
      <c r="I864" s="717">
        <f t="shared" si="33"/>
        <v>12000</v>
      </c>
      <c r="J864" s="717">
        <f t="shared" si="34"/>
        <v>8000</v>
      </c>
      <c r="K864" s="717">
        <v>20000</v>
      </c>
    </row>
    <row r="865" spans="1:11" s="510" customFormat="1" ht="75" hidden="1" customHeight="1">
      <c r="A865" s="1020" t="s">
        <v>2158</v>
      </c>
      <c r="B865" s="1022"/>
      <c r="C865" s="714" t="s">
        <v>2165</v>
      </c>
      <c r="D865" s="714">
        <v>618</v>
      </c>
      <c r="E865" s="714" t="s">
        <v>2170</v>
      </c>
      <c r="F865" s="1046"/>
      <c r="G865" s="1048"/>
      <c r="H865" s="1100"/>
      <c r="I865" s="717">
        <f t="shared" si="33"/>
        <v>3600</v>
      </c>
      <c r="J865" s="717">
        <f t="shared" si="34"/>
        <v>2400</v>
      </c>
      <c r="K865" s="717">
        <v>6000</v>
      </c>
    </row>
    <row r="866" spans="1:11" s="510" customFormat="1" ht="75" hidden="1" customHeight="1">
      <c r="A866" s="1020" t="s">
        <v>1840</v>
      </c>
      <c r="B866" s="1022"/>
      <c r="C866" s="714" t="s">
        <v>2166</v>
      </c>
      <c r="D866" s="714">
        <v>6</v>
      </c>
      <c r="E866" s="714" t="s">
        <v>1997</v>
      </c>
      <c r="F866" s="1044" t="s">
        <v>2231</v>
      </c>
      <c r="G866" s="1048"/>
      <c r="H866" s="1100"/>
      <c r="I866" s="717">
        <f t="shared" si="33"/>
        <v>2400</v>
      </c>
      <c r="J866" s="717">
        <f t="shared" si="34"/>
        <v>1600</v>
      </c>
      <c r="K866" s="717">
        <v>4000</v>
      </c>
    </row>
    <row r="867" spans="1:11" s="510" customFormat="1" ht="75" hidden="1" customHeight="1">
      <c r="A867" s="1020" t="s">
        <v>2160</v>
      </c>
      <c r="B867" s="1022"/>
      <c r="C867" s="714" t="s">
        <v>1934</v>
      </c>
      <c r="D867" s="714">
        <v>38</v>
      </c>
      <c r="E867" s="714" t="s">
        <v>1997</v>
      </c>
      <c r="F867" s="1046"/>
      <c r="G867" s="1049"/>
      <c r="H867" s="1101"/>
      <c r="I867" s="717">
        <f t="shared" si="33"/>
        <v>9600</v>
      </c>
      <c r="J867" s="717">
        <f t="shared" si="34"/>
        <v>6400</v>
      </c>
      <c r="K867" s="717">
        <v>16000</v>
      </c>
    </row>
    <row r="868" spans="1:11" ht="74.25" hidden="1" customHeight="1">
      <c r="A868" s="1011" t="s">
        <v>278</v>
      </c>
      <c r="B868" s="1013"/>
      <c r="C868" s="504"/>
      <c r="D868" s="709"/>
      <c r="E868" s="709"/>
      <c r="F868" s="708"/>
      <c r="G868" s="709"/>
      <c r="H868" s="710"/>
      <c r="I868" s="545">
        <f>SUM(I869)</f>
        <v>6000</v>
      </c>
      <c r="J868" s="545">
        <f>SUM(J869)</f>
        <v>4000</v>
      </c>
      <c r="K868" s="545">
        <f>I868+J868</f>
        <v>10000</v>
      </c>
    </row>
    <row r="869" spans="1:11" s="510" customFormat="1" ht="74.25" hidden="1" customHeight="1">
      <c r="A869" s="1020" t="s">
        <v>2004</v>
      </c>
      <c r="B869" s="1022"/>
      <c r="C869" s="714" t="s">
        <v>1215</v>
      </c>
      <c r="D869" s="714">
        <v>10</v>
      </c>
      <c r="E869" s="725" t="s">
        <v>2171</v>
      </c>
      <c r="F869" s="833" t="s">
        <v>2234</v>
      </c>
      <c r="G869" s="835">
        <v>8100</v>
      </c>
      <c r="H869" s="834" t="s">
        <v>2445</v>
      </c>
      <c r="I869" s="717">
        <f>K869/100*60</f>
        <v>6000</v>
      </c>
      <c r="J869" s="717">
        <f>K869/100*40</f>
        <v>4000</v>
      </c>
      <c r="K869" s="717">
        <v>10000</v>
      </c>
    </row>
    <row r="870" spans="1:11" ht="73.5" hidden="1" customHeight="1">
      <c r="A870" s="1011" t="s">
        <v>312</v>
      </c>
      <c r="B870" s="1013"/>
      <c r="C870" s="709"/>
      <c r="D870" s="709"/>
      <c r="E870" s="709"/>
      <c r="F870" s="708"/>
      <c r="G870" s="709"/>
      <c r="H870" s="710"/>
      <c r="I870" s="545">
        <f>SUM(I871:I872)</f>
        <v>6000</v>
      </c>
      <c r="J870" s="545">
        <f>SUM(J871:J872)</f>
        <v>4000</v>
      </c>
      <c r="K870" s="545">
        <f>I870+J870</f>
        <v>10000</v>
      </c>
    </row>
    <row r="871" spans="1:11" s="510" customFormat="1" ht="74.25" hidden="1" customHeight="1">
      <c r="A871" s="1020" t="s">
        <v>2161</v>
      </c>
      <c r="B871" s="1022"/>
      <c r="C871" s="714" t="s">
        <v>1801</v>
      </c>
      <c r="D871" s="714">
        <v>5</v>
      </c>
      <c r="E871" s="714" t="s">
        <v>2172</v>
      </c>
      <c r="F871" s="1044" t="s">
        <v>2224</v>
      </c>
      <c r="G871" s="1047">
        <v>8100</v>
      </c>
      <c r="H871" s="1099" t="s">
        <v>2273</v>
      </c>
      <c r="I871" s="717">
        <f>K871/100*60</f>
        <v>3600</v>
      </c>
      <c r="J871" s="717">
        <f>K871/100*40</f>
        <v>2400</v>
      </c>
      <c r="K871" s="717">
        <v>6000</v>
      </c>
    </row>
    <row r="872" spans="1:11" s="510" customFormat="1" ht="74.25" hidden="1" customHeight="1">
      <c r="A872" s="1020" t="s">
        <v>2162</v>
      </c>
      <c r="B872" s="1022"/>
      <c r="C872" s="714" t="s">
        <v>1999</v>
      </c>
      <c r="D872" s="714">
        <v>10</v>
      </c>
      <c r="E872" s="714" t="s">
        <v>2173</v>
      </c>
      <c r="F872" s="1046"/>
      <c r="G872" s="1049"/>
      <c r="H872" s="1101"/>
      <c r="I872" s="717">
        <f>K872/100*60</f>
        <v>2400</v>
      </c>
      <c r="J872" s="717">
        <f>K872/100*40</f>
        <v>1600</v>
      </c>
      <c r="K872" s="717">
        <v>4000</v>
      </c>
    </row>
    <row r="873" spans="1:11" s="743" customFormat="1" ht="36.75" hidden="1" customHeight="1">
      <c r="A873" s="1135"/>
      <c r="B873" s="1136"/>
      <c r="C873" s="738"/>
      <c r="D873" s="738"/>
      <c r="E873" s="739"/>
      <c r="F873" s="740"/>
      <c r="G873" s="741"/>
      <c r="H873" s="741"/>
      <c r="I873" s="742"/>
      <c r="J873" s="742"/>
      <c r="K873" s="742"/>
    </row>
    <row r="874" spans="1:11" ht="66" hidden="1" customHeight="1">
      <c r="A874" s="1031" t="s">
        <v>37</v>
      </c>
      <c r="B874" s="1033"/>
      <c r="C874" s="1037" t="s">
        <v>178</v>
      </c>
      <c r="D874" s="1037" t="s">
        <v>179</v>
      </c>
      <c r="E874" s="1037" t="s">
        <v>1521</v>
      </c>
      <c r="F874" s="1037" t="s">
        <v>14</v>
      </c>
      <c r="G874" s="1037" t="s">
        <v>1515</v>
      </c>
      <c r="H874" s="1037" t="s">
        <v>16</v>
      </c>
      <c r="I874" s="1039" t="s">
        <v>1490</v>
      </c>
      <c r="J874" s="1039" t="s">
        <v>2203</v>
      </c>
      <c r="K874" s="1037" t="s">
        <v>200</v>
      </c>
    </row>
    <row r="875" spans="1:11" s="500" customFormat="1" ht="30" hidden="1">
      <c r="A875" s="1034"/>
      <c r="B875" s="1036"/>
      <c r="C875" s="1038"/>
      <c r="D875" s="1038"/>
      <c r="E875" s="1038"/>
      <c r="F875" s="1038"/>
      <c r="G875" s="1038"/>
      <c r="H875" s="1038"/>
      <c r="I875" s="1039"/>
      <c r="J875" s="1039"/>
      <c r="K875" s="1038"/>
    </row>
    <row r="876" spans="1:11" s="500" customFormat="1" ht="74.25" hidden="1" customHeight="1">
      <c r="A876" s="1102" t="s">
        <v>2030</v>
      </c>
      <c r="B876" s="1103"/>
      <c r="C876" s="729"/>
      <c r="D876" s="729"/>
      <c r="E876" s="726"/>
      <c r="F876" s="727"/>
      <c r="G876" s="728"/>
      <c r="H876" s="728"/>
      <c r="I876" s="642">
        <f>I879+I887+I877+I885</f>
        <v>84009</v>
      </c>
      <c r="J876" s="642">
        <f>J879+J887+J877+J885</f>
        <v>56006</v>
      </c>
      <c r="K876" s="642">
        <f>I876+J876</f>
        <v>140015</v>
      </c>
    </row>
    <row r="877" spans="1:11" s="579" customFormat="1" ht="73.5" hidden="1" customHeight="1">
      <c r="A877" s="1011" t="s">
        <v>2251</v>
      </c>
      <c r="B877" s="1012"/>
      <c r="C877" s="1012"/>
      <c r="D877" s="1012"/>
      <c r="E877" s="1012"/>
      <c r="F877" s="1013"/>
      <c r="G877" s="709"/>
      <c r="H877" s="710"/>
      <c r="I877" s="545">
        <f>SUM(I878:I878)</f>
        <v>19851</v>
      </c>
      <c r="J877" s="545">
        <f>SUM(J878:J878)</f>
        <v>13234</v>
      </c>
      <c r="K877" s="545">
        <f>I877+J877</f>
        <v>33085</v>
      </c>
    </row>
    <row r="878" spans="1:11" s="510" customFormat="1" ht="74.25" hidden="1" customHeight="1">
      <c r="A878" s="1020" t="s">
        <v>2031</v>
      </c>
      <c r="B878" s="1022"/>
      <c r="C878" s="714" t="s">
        <v>147</v>
      </c>
      <c r="D878" s="714">
        <v>189</v>
      </c>
      <c r="E878" s="714" t="s">
        <v>2032</v>
      </c>
      <c r="F878" s="829" t="s">
        <v>2260</v>
      </c>
      <c r="G878" s="827">
        <v>8100</v>
      </c>
      <c r="H878" s="828" t="s">
        <v>2273</v>
      </c>
      <c r="I878" s="717">
        <f>K878/100*60</f>
        <v>19851</v>
      </c>
      <c r="J878" s="717">
        <f>K878/100*40</f>
        <v>13234</v>
      </c>
      <c r="K878" s="717">
        <v>33085</v>
      </c>
    </row>
    <row r="879" spans="1:11" ht="75" hidden="1" customHeight="1">
      <c r="A879" s="1011" t="s">
        <v>1541</v>
      </c>
      <c r="B879" s="1013"/>
      <c r="C879" s="709"/>
      <c r="D879" s="709"/>
      <c r="E879" s="709"/>
      <c r="F879" s="708"/>
      <c r="G879" s="709"/>
      <c r="H879" s="710"/>
      <c r="I879" s="545">
        <f>SUM(I880:I884)</f>
        <v>56358</v>
      </c>
      <c r="J879" s="545">
        <f>SUM(J880:J884)</f>
        <v>37572</v>
      </c>
      <c r="K879" s="545">
        <f>I879+J879</f>
        <v>93930</v>
      </c>
    </row>
    <row r="880" spans="1:11" s="510" customFormat="1" ht="75" hidden="1" customHeight="1">
      <c r="A880" s="1020" t="s">
        <v>2035</v>
      </c>
      <c r="B880" s="1022"/>
      <c r="C880" s="714" t="s">
        <v>2042</v>
      </c>
      <c r="D880" s="714">
        <v>3</v>
      </c>
      <c r="E880" s="714" t="s">
        <v>2040</v>
      </c>
      <c r="F880" s="829" t="s">
        <v>2229</v>
      </c>
      <c r="G880" s="1047">
        <v>8100</v>
      </c>
      <c r="H880" s="1099" t="s">
        <v>2273</v>
      </c>
      <c r="I880" s="717">
        <f>K880/100*60</f>
        <v>9558</v>
      </c>
      <c r="J880" s="717">
        <f>K880/100*40</f>
        <v>6372</v>
      </c>
      <c r="K880" s="717">
        <v>15930</v>
      </c>
    </row>
    <row r="881" spans="1:11" s="510" customFormat="1" ht="74.25" hidden="1" customHeight="1">
      <c r="A881" s="1020" t="s">
        <v>2034</v>
      </c>
      <c r="B881" s="1022"/>
      <c r="C881" s="714" t="s">
        <v>2041</v>
      </c>
      <c r="D881" s="714">
        <v>60</v>
      </c>
      <c r="E881" s="714" t="s">
        <v>2040</v>
      </c>
      <c r="F881" s="829" t="s">
        <v>2230</v>
      </c>
      <c r="G881" s="1048"/>
      <c r="H881" s="1100"/>
      <c r="I881" s="717">
        <f>K881/100*60</f>
        <v>15000</v>
      </c>
      <c r="J881" s="717">
        <f>K881/100*40</f>
        <v>10000</v>
      </c>
      <c r="K881" s="717">
        <v>25000</v>
      </c>
    </row>
    <row r="882" spans="1:11" s="510" customFormat="1" ht="75" hidden="1" customHeight="1">
      <c r="A882" s="1020" t="s">
        <v>2036</v>
      </c>
      <c r="B882" s="1022"/>
      <c r="C882" s="714" t="s">
        <v>1914</v>
      </c>
      <c r="D882" s="714">
        <v>6</v>
      </c>
      <c r="E882" s="714" t="s">
        <v>2043</v>
      </c>
      <c r="F882" s="1044" t="s">
        <v>2231</v>
      </c>
      <c r="G882" s="1048"/>
      <c r="H882" s="1100"/>
      <c r="I882" s="717">
        <f>K882/100*60</f>
        <v>10800</v>
      </c>
      <c r="J882" s="717">
        <f>K882/100*40</f>
        <v>7200</v>
      </c>
      <c r="K882" s="717">
        <v>18000</v>
      </c>
    </row>
    <row r="883" spans="1:11" s="510" customFormat="1" ht="75" hidden="1" customHeight="1">
      <c r="A883" s="1020" t="s">
        <v>2033</v>
      </c>
      <c r="B883" s="1022"/>
      <c r="C883" s="714" t="s">
        <v>2039</v>
      </c>
      <c r="D883" s="714">
        <v>3</v>
      </c>
      <c r="E883" s="714" t="s">
        <v>2040</v>
      </c>
      <c r="F883" s="1045"/>
      <c r="G883" s="1048"/>
      <c r="H883" s="1100"/>
      <c r="I883" s="717">
        <f>K883/100*60</f>
        <v>12000</v>
      </c>
      <c r="J883" s="717">
        <f>K883/100*40</f>
        <v>8000</v>
      </c>
      <c r="K883" s="717">
        <v>20000</v>
      </c>
    </row>
    <row r="884" spans="1:11" s="510" customFormat="1" ht="75" hidden="1" customHeight="1">
      <c r="A884" s="1020" t="s">
        <v>2037</v>
      </c>
      <c r="B884" s="1022"/>
      <c r="C884" s="714" t="s">
        <v>1934</v>
      </c>
      <c r="D884" s="714">
        <v>15</v>
      </c>
      <c r="E884" s="714" t="s">
        <v>2044</v>
      </c>
      <c r="F884" s="1046"/>
      <c r="G884" s="1049"/>
      <c r="H884" s="1101"/>
      <c r="I884" s="717">
        <f>K884/100*60</f>
        <v>9000</v>
      </c>
      <c r="J884" s="717">
        <f>K884/100*40</f>
        <v>6000</v>
      </c>
      <c r="K884" s="717">
        <v>15000</v>
      </c>
    </row>
    <row r="885" spans="1:11" ht="74.25" hidden="1" customHeight="1">
      <c r="A885" s="1011" t="s">
        <v>278</v>
      </c>
      <c r="B885" s="1013"/>
      <c r="C885" s="504"/>
      <c r="D885" s="709"/>
      <c r="E885" s="709"/>
      <c r="F885" s="708"/>
      <c r="G885" s="709"/>
      <c r="H885" s="710"/>
      <c r="I885" s="545">
        <f>SUM(I886)</f>
        <v>6000</v>
      </c>
      <c r="J885" s="545">
        <f>SUM(J886)</f>
        <v>4000</v>
      </c>
      <c r="K885" s="545">
        <f>I885+J885</f>
        <v>10000</v>
      </c>
    </row>
    <row r="886" spans="1:11" s="510" customFormat="1" ht="74.25" hidden="1" customHeight="1">
      <c r="A886" s="1020" t="s">
        <v>2004</v>
      </c>
      <c r="B886" s="1022"/>
      <c r="C886" s="714" t="s">
        <v>1215</v>
      </c>
      <c r="D886" s="714">
        <v>3</v>
      </c>
      <c r="E886" s="725" t="s">
        <v>2045</v>
      </c>
      <c r="F886" s="833" t="s">
        <v>2234</v>
      </c>
      <c r="G886" s="835">
        <v>8100</v>
      </c>
      <c r="H886" s="834" t="s">
        <v>2445</v>
      </c>
      <c r="I886" s="717">
        <f>K886/100*60</f>
        <v>6000</v>
      </c>
      <c r="J886" s="717">
        <f>K886/100*40</f>
        <v>4000</v>
      </c>
      <c r="K886" s="717">
        <v>10000</v>
      </c>
    </row>
    <row r="887" spans="1:11" ht="73.5" hidden="1" customHeight="1">
      <c r="A887" s="1011" t="s">
        <v>312</v>
      </c>
      <c r="B887" s="1013"/>
      <c r="C887" s="709"/>
      <c r="D887" s="709"/>
      <c r="E887" s="709"/>
      <c r="F887" s="708"/>
      <c r="G887" s="709"/>
      <c r="H887" s="710"/>
      <c r="I887" s="545">
        <f>SUM(I888:I888)</f>
        <v>1800</v>
      </c>
      <c r="J887" s="545">
        <f>SUM(J888:J888)</f>
        <v>1200</v>
      </c>
      <c r="K887" s="545">
        <f>I887+J887</f>
        <v>3000</v>
      </c>
    </row>
    <row r="888" spans="1:11" s="510" customFormat="1" ht="74.25" hidden="1" customHeight="1">
      <c r="A888" s="1020" t="s">
        <v>2038</v>
      </c>
      <c r="B888" s="1022"/>
      <c r="C888" s="714" t="s">
        <v>2041</v>
      </c>
      <c r="D888" s="714">
        <v>10</v>
      </c>
      <c r="E888" s="714" t="s">
        <v>2046</v>
      </c>
      <c r="F888" s="833" t="s">
        <v>2224</v>
      </c>
      <c r="G888" s="835">
        <v>8100</v>
      </c>
      <c r="H888" s="834" t="s">
        <v>2273</v>
      </c>
      <c r="I888" s="717">
        <f>K888/100*60</f>
        <v>1800</v>
      </c>
      <c r="J888" s="717">
        <f>K888/100*40</f>
        <v>1200</v>
      </c>
      <c r="K888" s="717">
        <v>3000</v>
      </c>
    </row>
    <row r="889" spans="1:11" s="510" customFormat="1" ht="74.25" hidden="1" customHeight="1">
      <c r="A889" s="753"/>
      <c r="B889" s="753"/>
      <c r="C889" s="754"/>
      <c r="D889" s="754"/>
      <c r="E889" s="754"/>
      <c r="F889" s="755"/>
      <c r="G889" s="758"/>
      <c r="H889" s="756"/>
      <c r="I889" s="757"/>
      <c r="J889" s="757"/>
      <c r="K889" s="757"/>
    </row>
    <row r="890" spans="1:11" s="510" customFormat="1" ht="74.25" hidden="1" customHeight="1">
      <c r="A890" s="753"/>
      <c r="B890" s="753"/>
      <c r="C890" s="754"/>
      <c r="D890" s="754"/>
      <c r="E890" s="754"/>
      <c r="F890" s="755"/>
      <c r="G890" s="758"/>
      <c r="H890" s="756"/>
      <c r="I890" s="757"/>
      <c r="J890" s="757"/>
      <c r="K890" s="757"/>
    </row>
    <row r="891" spans="1:11" s="510" customFormat="1" ht="74.25" hidden="1" customHeight="1">
      <c r="A891" s="753"/>
      <c r="B891" s="753"/>
      <c r="C891" s="754"/>
      <c r="D891" s="754"/>
      <c r="E891" s="754"/>
      <c r="F891" s="755"/>
      <c r="G891" s="758"/>
      <c r="H891" s="756"/>
      <c r="I891" s="757"/>
      <c r="J891" s="757"/>
      <c r="K891" s="757"/>
    </row>
    <row r="892" spans="1:11" s="510" customFormat="1" ht="74.25" hidden="1" customHeight="1">
      <c r="A892" s="753"/>
      <c r="B892" s="753"/>
      <c r="C892" s="754"/>
      <c r="D892" s="754"/>
      <c r="E892" s="754"/>
      <c r="F892" s="755"/>
      <c r="G892" s="758"/>
      <c r="H892" s="756"/>
      <c r="I892" s="757"/>
      <c r="J892" s="757"/>
      <c r="K892" s="757"/>
    </row>
    <row r="893" spans="1:11" ht="34.5" hidden="1" customHeight="1">
      <c r="A893" s="1128" t="s">
        <v>51</v>
      </c>
      <c r="B893" s="1128"/>
      <c r="C893" s="1128"/>
      <c r="D893" s="1128"/>
      <c r="E893" s="1128"/>
      <c r="F893" s="1128"/>
      <c r="G893" s="1128"/>
      <c r="H893" s="1128"/>
      <c r="I893" s="1128"/>
      <c r="J893" s="1128"/>
      <c r="K893" s="1128"/>
    </row>
    <row r="894" spans="1:11" ht="30.75" hidden="1" customHeight="1">
      <c r="A894" s="1128" t="s">
        <v>52</v>
      </c>
      <c r="B894" s="1128"/>
      <c r="C894" s="1128"/>
      <c r="D894" s="1128"/>
      <c r="E894" s="1128"/>
      <c r="F894" s="1128"/>
      <c r="G894" s="1128"/>
      <c r="H894" s="1128"/>
      <c r="I894" s="1128"/>
      <c r="J894" s="1128"/>
      <c r="K894" s="1128"/>
    </row>
    <row r="895" spans="1:11" ht="33" hidden="1" customHeight="1">
      <c r="A895" s="1132" t="s">
        <v>50</v>
      </c>
      <c r="B895" s="1132"/>
      <c r="C895" s="1132"/>
      <c r="D895" s="1132"/>
      <c r="E895" s="1132"/>
      <c r="F895" s="1132"/>
      <c r="G895" s="1132"/>
      <c r="H895" s="1132"/>
      <c r="I895" s="1132"/>
      <c r="J895" s="1132"/>
      <c r="K895" s="1132"/>
    </row>
    <row r="896" spans="1:11" ht="33" hidden="1" customHeight="1">
      <c r="A896" s="154"/>
      <c r="B896" s="154"/>
      <c r="C896" s="154"/>
      <c r="D896" s="154"/>
      <c r="E896" s="154"/>
      <c r="F896" s="154"/>
      <c r="G896" s="707"/>
      <c r="H896" s="707"/>
      <c r="I896" s="707"/>
      <c r="J896" s="707"/>
      <c r="K896" s="707"/>
    </row>
    <row r="897" spans="1:11" ht="35.25" hidden="1">
      <c r="A897" s="1128" t="s">
        <v>1336</v>
      </c>
      <c r="B897" s="1128"/>
      <c r="C897" s="1128"/>
      <c r="D897" s="1128"/>
      <c r="E897" s="1128"/>
      <c r="F897" s="1128"/>
      <c r="G897" s="1128"/>
      <c r="H897" s="1128"/>
      <c r="I897" s="1128"/>
      <c r="J897" s="1128"/>
      <c r="K897" s="1128"/>
    </row>
    <row r="898" spans="1:11" s="620" customFormat="1" ht="33" hidden="1">
      <c r="A898" s="65"/>
      <c r="B898" s="65"/>
      <c r="C898" s="65"/>
      <c r="D898" s="65"/>
      <c r="E898" s="65"/>
      <c r="F898" s="65"/>
      <c r="G898" s="68"/>
      <c r="H898" s="68"/>
      <c r="I898" s="68"/>
      <c r="J898" s="68"/>
      <c r="K898" s="68"/>
    </row>
    <row r="899" spans="1:11" ht="20.100000000000001" hidden="1" customHeight="1">
      <c r="A899" s="65"/>
      <c r="B899" s="65"/>
      <c r="C899" s="65"/>
      <c r="D899" s="65"/>
      <c r="E899" s="65"/>
      <c r="F899" s="65"/>
      <c r="G899" s="68"/>
      <c r="H899" s="68"/>
      <c r="I899" s="68"/>
      <c r="J899" s="68"/>
      <c r="K899" s="68"/>
    </row>
    <row r="900" spans="1:11" ht="20.100000000000001" hidden="1" customHeight="1">
      <c r="A900" s="979"/>
      <c r="B900" s="979"/>
      <c r="C900" s="979"/>
      <c r="D900" s="979"/>
      <c r="E900" s="979"/>
      <c r="F900" s="979"/>
      <c r="G900" s="979"/>
      <c r="H900" s="979"/>
      <c r="I900" s="979"/>
      <c r="J900" s="979"/>
      <c r="K900" s="979"/>
    </row>
    <row r="901" spans="1:11" ht="45.75" hidden="1" customHeight="1">
      <c r="A901" s="1030" t="s">
        <v>1383</v>
      </c>
      <c r="B901" s="1030"/>
      <c r="C901" s="1030"/>
      <c r="D901" s="1030"/>
      <c r="E901" s="1030"/>
      <c r="F901" s="1030"/>
      <c r="G901" s="1030"/>
      <c r="H901" s="1030"/>
      <c r="I901" s="1030"/>
      <c r="J901" s="1030"/>
      <c r="K901" s="1030"/>
    </row>
    <row r="902" spans="1:11" ht="66" hidden="1" customHeight="1">
      <c r="A902" s="1031" t="s">
        <v>37</v>
      </c>
      <c r="B902" s="1033"/>
      <c r="C902" s="1037" t="s">
        <v>178</v>
      </c>
      <c r="D902" s="1037" t="s">
        <v>179</v>
      </c>
      <c r="E902" s="1037" t="s">
        <v>1521</v>
      </c>
      <c r="F902" s="1037" t="s">
        <v>14</v>
      </c>
      <c r="G902" s="1037" t="s">
        <v>1515</v>
      </c>
      <c r="H902" s="1037" t="s">
        <v>16</v>
      </c>
      <c r="I902" s="1039" t="s">
        <v>1490</v>
      </c>
      <c r="J902" s="1039" t="s">
        <v>2203</v>
      </c>
      <c r="K902" s="1037" t="s">
        <v>200</v>
      </c>
    </row>
    <row r="903" spans="1:11" s="500" customFormat="1" ht="30" hidden="1">
      <c r="A903" s="1034"/>
      <c r="B903" s="1036"/>
      <c r="C903" s="1038"/>
      <c r="D903" s="1038"/>
      <c r="E903" s="1038"/>
      <c r="F903" s="1038"/>
      <c r="G903" s="1038"/>
      <c r="H903" s="1038"/>
      <c r="I903" s="1039"/>
      <c r="J903" s="1039"/>
      <c r="K903" s="1038"/>
    </row>
    <row r="904" spans="1:11" s="500" customFormat="1" ht="74.25" hidden="1" customHeight="1">
      <c r="A904" s="1102" t="s">
        <v>2047</v>
      </c>
      <c r="B904" s="1103"/>
      <c r="C904" s="729"/>
      <c r="D904" s="729"/>
      <c r="E904" s="726"/>
      <c r="F904" s="727"/>
      <c r="G904" s="728"/>
      <c r="H904" s="728"/>
      <c r="I904" s="642">
        <f>I912+I920+I905+I918</f>
        <v>499128</v>
      </c>
      <c r="J904" s="642">
        <f>J912+J920+J905+J918</f>
        <v>332752</v>
      </c>
      <c r="K904" s="642">
        <f>I904+J904</f>
        <v>831880</v>
      </c>
    </row>
    <row r="905" spans="1:11" s="579" customFormat="1" ht="73.5" hidden="1" customHeight="1">
      <c r="A905" s="1011" t="s">
        <v>2251</v>
      </c>
      <c r="B905" s="1012"/>
      <c r="C905" s="1012"/>
      <c r="D905" s="1012"/>
      <c r="E905" s="1012"/>
      <c r="F905" s="1013"/>
      <c r="G905" s="709"/>
      <c r="H905" s="710"/>
      <c r="I905" s="545">
        <f>SUM(I906:I911)</f>
        <v>192533.4</v>
      </c>
      <c r="J905" s="545">
        <f>SUM(J906:J911)</f>
        <v>128355.6</v>
      </c>
      <c r="K905" s="545">
        <f>I905+J905</f>
        <v>320889</v>
      </c>
    </row>
    <row r="906" spans="1:11" s="510" customFormat="1" ht="74.25" hidden="1" customHeight="1">
      <c r="A906" s="1020" t="s">
        <v>374</v>
      </c>
      <c r="B906" s="1022"/>
      <c r="C906" s="714" t="s">
        <v>147</v>
      </c>
      <c r="D906" s="714">
        <v>149</v>
      </c>
      <c r="E906" s="714" t="s">
        <v>2051</v>
      </c>
      <c r="F906" s="829" t="s">
        <v>2261</v>
      </c>
      <c r="G906" s="1047">
        <v>8100</v>
      </c>
      <c r="H906" s="1099" t="s">
        <v>2273</v>
      </c>
      <c r="I906" s="717">
        <f t="shared" ref="I906:I911" si="35">K906/100*60</f>
        <v>14620.800000000001</v>
      </c>
      <c r="J906" s="717">
        <f t="shared" ref="J906:J911" si="36">K906/100*40</f>
        <v>9747.2000000000007</v>
      </c>
      <c r="K906" s="717">
        <v>24368</v>
      </c>
    </row>
    <row r="907" spans="1:11" s="510" customFormat="1" ht="74.25" hidden="1" customHeight="1">
      <c r="A907" s="1020" t="s">
        <v>375</v>
      </c>
      <c r="B907" s="1022"/>
      <c r="C907" s="714" t="s">
        <v>147</v>
      </c>
      <c r="D907" s="714">
        <v>190</v>
      </c>
      <c r="E907" s="714" t="s">
        <v>2051</v>
      </c>
      <c r="F907" s="829" t="s">
        <v>2262</v>
      </c>
      <c r="G907" s="1048"/>
      <c r="H907" s="1100"/>
      <c r="I907" s="717">
        <f t="shared" si="35"/>
        <v>32507.999999999996</v>
      </c>
      <c r="J907" s="717">
        <f t="shared" si="36"/>
        <v>21672</v>
      </c>
      <c r="K907" s="717">
        <v>54180</v>
      </c>
    </row>
    <row r="908" spans="1:11" s="510" customFormat="1" ht="74.25" hidden="1" customHeight="1">
      <c r="A908" s="1020" t="s">
        <v>376</v>
      </c>
      <c r="B908" s="1022"/>
      <c r="C908" s="714" t="s">
        <v>147</v>
      </c>
      <c r="D908" s="714">
        <v>150</v>
      </c>
      <c r="E908" s="714" t="s">
        <v>2051</v>
      </c>
      <c r="F908" s="829" t="s">
        <v>2263</v>
      </c>
      <c r="G908" s="1048"/>
      <c r="H908" s="1100"/>
      <c r="I908" s="717">
        <f t="shared" si="35"/>
        <v>6844.8</v>
      </c>
      <c r="J908" s="717">
        <f t="shared" si="36"/>
        <v>4563.2</v>
      </c>
      <c r="K908" s="717">
        <v>11408</v>
      </c>
    </row>
    <row r="909" spans="1:11" s="510" customFormat="1" ht="74.25" hidden="1" customHeight="1">
      <c r="A909" s="1020" t="s">
        <v>2048</v>
      </c>
      <c r="B909" s="1022"/>
      <c r="C909" s="714" t="s">
        <v>147</v>
      </c>
      <c r="D909" s="714">
        <v>78</v>
      </c>
      <c r="E909" s="714" t="s">
        <v>2051</v>
      </c>
      <c r="F909" s="829" t="s">
        <v>2264</v>
      </c>
      <c r="G909" s="1048"/>
      <c r="H909" s="1100"/>
      <c r="I909" s="717">
        <f t="shared" si="35"/>
        <v>32296.799999999999</v>
      </c>
      <c r="J909" s="717">
        <f t="shared" si="36"/>
        <v>21531.199999999997</v>
      </c>
      <c r="K909" s="717">
        <v>53828</v>
      </c>
    </row>
    <row r="910" spans="1:11" s="510" customFormat="1" ht="74.25" hidden="1" customHeight="1">
      <c r="A910" s="1020" t="s">
        <v>2049</v>
      </c>
      <c r="B910" s="1022"/>
      <c r="C910" s="714" t="s">
        <v>147</v>
      </c>
      <c r="D910" s="714">
        <v>154</v>
      </c>
      <c r="E910" s="714" t="s">
        <v>2051</v>
      </c>
      <c r="F910" s="829" t="s">
        <v>2265</v>
      </c>
      <c r="G910" s="1048"/>
      <c r="H910" s="1100"/>
      <c r="I910" s="717">
        <f t="shared" si="35"/>
        <v>51555</v>
      </c>
      <c r="J910" s="717">
        <f t="shared" si="36"/>
        <v>34370</v>
      </c>
      <c r="K910" s="717">
        <v>85925</v>
      </c>
    </row>
    <row r="911" spans="1:11" s="510" customFormat="1" ht="74.25" hidden="1" customHeight="1">
      <c r="A911" s="1020" t="s">
        <v>2050</v>
      </c>
      <c r="B911" s="1022"/>
      <c r="C911" s="714" t="s">
        <v>147</v>
      </c>
      <c r="D911" s="714">
        <v>246</v>
      </c>
      <c r="E911" s="714" t="s">
        <v>2051</v>
      </c>
      <c r="F911" s="829" t="s">
        <v>2266</v>
      </c>
      <c r="G911" s="1049"/>
      <c r="H911" s="1101"/>
      <c r="I911" s="717">
        <f t="shared" si="35"/>
        <v>54708</v>
      </c>
      <c r="J911" s="717">
        <f t="shared" si="36"/>
        <v>36472</v>
      </c>
      <c r="K911" s="717">
        <v>91180</v>
      </c>
    </row>
    <row r="912" spans="1:11" ht="75" hidden="1" customHeight="1">
      <c r="A912" s="1011" t="s">
        <v>1541</v>
      </c>
      <c r="B912" s="1013"/>
      <c r="C912" s="709"/>
      <c r="D912" s="709"/>
      <c r="E912" s="709"/>
      <c r="F912" s="708"/>
      <c r="G912" s="709"/>
      <c r="H912" s="710"/>
      <c r="I912" s="545">
        <f>SUM(I913:I917)</f>
        <v>232736.40000000002</v>
      </c>
      <c r="J912" s="545">
        <f>SUM(J913:J917)</f>
        <v>155157.6</v>
      </c>
      <c r="K912" s="545">
        <f>I912+J912</f>
        <v>387894</v>
      </c>
    </row>
    <row r="913" spans="1:11" s="510" customFormat="1" ht="75" hidden="1" customHeight="1">
      <c r="A913" s="1020" t="s">
        <v>2060</v>
      </c>
      <c r="B913" s="1022"/>
      <c r="C913" s="714" t="s">
        <v>2056</v>
      </c>
      <c r="D913" s="714">
        <v>16</v>
      </c>
      <c r="E913" s="714" t="s">
        <v>2051</v>
      </c>
      <c r="F913" s="1044" t="s">
        <v>2229</v>
      </c>
      <c r="G913" s="1047">
        <v>8100</v>
      </c>
      <c r="H913" s="1099" t="s">
        <v>2273</v>
      </c>
      <c r="I913" s="717">
        <f>K913/100*60</f>
        <v>27000</v>
      </c>
      <c r="J913" s="717">
        <f>K913/100*40</f>
        <v>18000</v>
      </c>
      <c r="K913" s="717">
        <v>45000</v>
      </c>
    </row>
    <row r="914" spans="1:11" s="510" customFormat="1" ht="75" hidden="1" customHeight="1">
      <c r="A914" s="1020" t="s">
        <v>2061</v>
      </c>
      <c r="B914" s="1022"/>
      <c r="C914" s="714" t="s">
        <v>2057</v>
      </c>
      <c r="D914" s="714">
        <v>1</v>
      </c>
      <c r="E914" s="714" t="s">
        <v>2051</v>
      </c>
      <c r="F914" s="1045"/>
      <c r="G914" s="1048"/>
      <c r="H914" s="1100"/>
      <c r="I914" s="717">
        <f>K914/100*60</f>
        <v>6600</v>
      </c>
      <c r="J914" s="717">
        <f>K914/100*40</f>
        <v>4400</v>
      </c>
      <c r="K914" s="717">
        <v>11000</v>
      </c>
    </row>
    <row r="915" spans="1:11" s="510" customFormat="1" ht="74.25" hidden="1" customHeight="1">
      <c r="A915" s="1020" t="s">
        <v>2062</v>
      </c>
      <c r="B915" s="1022"/>
      <c r="C915" s="714" t="s">
        <v>2053</v>
      </c>
      <c r="D915" s="714">
        <v>2</v>
      </c>
      <c r="E915" s="714" t="s">
        <v>2054</v>
      </c>
      <c r="F915" s="1044" t="s">
        <v>2230</v>
      </c>
      <c r="G915" s="1048"/>
      <c r="H915" s="1100"/>
      <c r="I915" s="717">
        <f>K915/100*60</f>
        <v>5700</v>
      </c>
      <c r="J915" s="717">
        <f>K915/100*40</f>
        <v>3800</v>
      </c>
      <c r="K915" s="717">
        <v>9500</v>
      </c>
    </row>
    <row r="916" spans="1:11" s="510" customFormat="1" ht="75" hidden="1" customHeight="1">
      <c r="A916" s="1020" t="s">
        <v>2063</v>
      </c>
      <c r="B916" s="1022"/>
      <c r="C916" s="714" t="s">
        <v>2055</v>
      </c>
      <c r="D916" s="716">
        <v>0.95</v>
      </c>
      <c r="E916" s="714" t="s">
        <v>2051</v>
      </c>
      <c r="F916" s="1046"/>
      <c r="G916" s="1048"/>
      <c r="H916" s="1100"/>
      <c r="I916" s="717">
        <f>K916/100*60</f>
        <v>78000</v>
      </c>
      <c r="J916" s="717">
        <f>K916/100*40</f>
        <v>52000</v>
      </c>
      <c r="K916" s="717">
        <v>130000</v>
      </c>
    </row>
    <row r="917" spans="1:11" s="510" customFormat="1" ht="75" hidden="1" customHeight="1">
      <c r="A917" s="1020" t="s">
        <v>2064</v>
      </c>
      <c r="B917" s="1022"/>
      <c r="C917" s="714" t="s">
        <v>2058</v>
      </c>
      <c r="D917" s="714">
        <v>70</v>
      </c>
      <c r="E917" s="714" t="s">
        <v>2059</v>
      </c>
      <c r="F917" s="829" t="s">
        <v>2231</v>
      </c>
      <c r="G917" s="1049"/>
      <c r="H917" s="1101"/>
      <c r="I917" s="717">
        <f>K917/100*60</f>
        <v>115436.40000000001</v>
      </c>
      <c r="J917" s="717">
        <f>K917/100*40</f>
        <v>76957.600000000006</v>
      </c>
      <c r="K917" s="717">
        <v>192394</v>
      </c>
    </row>
    <row r="918" spans="1:11" ht="74.25" hidden="1" customHeight="1">
      <c r="A918" s="1011" t="s">
        <v>278</v>
      </c>
      <c r="B918" s="1013"/>
      <c r="C918" s="504"/>
      <c r="D918" s="709"/>
      <c r="E918" s="709"/>
      <c r="F918" s="708"/>
      <c r="G918" s="709"/>
      <c r="H918" s="710"/>
      <c r="I918" s="545">
        <f>SUM(I919)</f>
        <v>16200</v>
      </c>
      <c r="J918" s="545">
        <f>SUM(J919)</f>
        <v>10800</v>
      </c>
      <c r="K918" s="545">
        <f>I918+J918</f>
        <v>27000</v>
      </c>
    </row>
    <row r="919" spans="1:11" s="510" customFormat="1" ht="74.25" hidden="1" customHeight="1">
      <c r="A919" s="1020" t="s">
        <v>2004</v>
      </c>
      <c r="B919" s="1022"/>
      <c r="C919" s="714" t="s">
        <v>1215</v>
      </c>
      <c r="D919" s="714">
        <v>13</v>
      </c>
      <c r="E919" s="725" t="s">
        <v>2051</v>
      </c>
      <c r="F919" s="833" t="s">
        <v>2234</v>
      </c>
      <c r="G919" s="835">
        <v>8100</v>
      </c>
      <c r="H919" s="834" t="s">
        <v>2445</v>
      </c>
      <c r="I919" s="717">
        <f>K919/100*60</f>
        <v>16200</v>
      </c>
      <c r="J919" s="717">
        <f>K919/100*40</f>
        <v>10800</v>
      </c>
      <c r="K919" s="717">
        <v>27000</v>
      </c>
    </row>
    <row r="920" spans="1:11" ht="73.5" hidden="1" customHeight="1">
      <c r="A920" s="1011" t="s">
        <v>312</v>
      </c>
      <c r="B920" s="1013"/>
      <c r="C920" s="709"/>
      <c r="D920" s="709"/>
      <c r="E920" s="709"/>
      <c r="F920" s="708"/>
      <c r="G920" s="709"/>
      <c r="H920" s="710"/>
      <c r="I920" s="545">
        <f>SUM(I921:I923)</f>
        <v>57658.2</v>
      </c>
      <c r="J920" s="545">
        <f>SUM(J921:J923)</f>
        <v>38438.800000000003</v>
      </c>
      <c r="K920" s="545">
        <f>I920+J920</f>
        <v>96097</v>
      </c>
    </row>
    <row r="921" spans="1:11" s="510" customFormat="1" ht="75" hidden="1" customHeight="1">
      <c r="A921" s="1020" t="s">
        <v>2065</v>
      </c>
      <c r="B921" s="1022"/>
      <c r="C921" s="714" t="s">
        <v>2052</v>
      </c>
      <c r="D921" s="714">
        <v>92</v>
      </c>
      <c r="E921" s="714" t="s">
        <v>2051</v>
      </c>
      <c r="F921" s="1044" t="s">
        <v>2224</v>
      </c>
      <c r="G921" s="1047">
        <v>8100</v>
      </c>
      <c r="H921" s="1099" t="s">
        <v>2273</v>
      </c>
      <c r="I921" s="717">
        <f>K921/100*60</f>
        <v>5550</v>
      </c>
      <c r="J921" s="717">
        <f>K921/100*40</f>
        <v>3700</v>
      </c>
      <c r="K921" s="717">
        <v>9250</v>
      </c>
    </row>
    <row r="922" spans="1:11" s="510" customFormat="1" ht="74.25" hidden="1" customHeight="1">
      <c r="A922" s="1020" t="s">
        <v>2066</v>
      </c>
      <c r="B922" s="1022"/>
      <c r="C922" s="714" t="s">
        <v>2057</v>
      </c>
      <c r="D922" s="714">
        <v>1</v>
      </c>
      <c r="E922" s="714" t="s">
        <v>2051</v>
      </c>
      <c r="F922" s="1045"/>
      <c r="G922" s="1048"/>
      <c r="H922" s="1100"/>
      <c r="I922" s="717">
        <f>K922/100*60</f>
        <v>24000</v>
      </c>
      <c r="J922" s="717">
        <f>K922/100*40</f>
        <v>16000</v>
      </c>
      <c r="K922" s="717">
        <v>40000</v>
      </c>
    </row>
    <row r="923" spans="1:11" s="510" customFormat="1" ht="74.25" hidden="1" customHeight="1">
      <c r="A923" s="1020" t="s">
        <v>2067</v>
      </c>
      <c r="B923" s="1022"/>
      <c r="C923" s="714" t="s">
        <v>2057</v>
      </c>
      <c r="D923" s="714">
        <v>1</v>
      </c>
      <c r="E923" s="714" t="s">
        <v>2051</v>
      </c>
      <c r="F923" s="1046"/>
      <c r="G923" s="1049"/>
      <c r="H923" s="1101"/>
      <c r="I923" s="717">
        <f>K923/100*60</f>
        <v>28108.2</v>
      </c>
      <c r="J923" s="717">
        <f>K923/100*40</f>
        <v>18738.800000000003</v>
      </c>
      <c r="K923" s="717">
        <v>46847</v>
      </c>
    </row>
    <row r="924" spans="1:11" s="510" customFormat="1" ht="74.25" hidden="1" customHeight="1">
      <c r="A924" s="753"/>
      <c r="B924" s="753"/>
      <c r="C924" s="754"/>
      <c r="D924" s="754"/>
      <c r="E924" s="754"/>
      <c r="F924" s="755"/>
      <c r="G924" s="758"/>
      <c r="H924" s="756"/>
      <c r="I924" s="757"/>
      <c r="J924" s="757"/>
      <c r="K924" s="757"/>
    </row>
    <row r="925" spans="1:11" s="510" customFormat="1" ht="74.25" hidden="1" customHeight="1">
      <c r="A925" s="753"/>
      <c r="B925" s="753"/>
      <c r="C925" s="754"/>
      <c r="D925" s="754"/>
      <c r="E925" s="754"/>
      <c r="F925" s="755"/>
      <c r="G925" s="758"/>
      <c r="H925" s="756"/>
      <c r="I925" s="757"/>
      <c r="J925" s="757"/>
      <c r="K925" s="757"/>
    </row>
    <row r="926" spans="1:11" s="510" customFormat="1" ht="74.25" hidden="1" customHeight="1">
      <c r="A926" s="753"/>
      <c r="B926" s="753"/>
      <c r="C926" s="754"/>
      <c r="D926" s="754"/>
      <c r="E926" s="754"/>
      <c r="F926" s="755"/>
      <c r="G926" s="758"/>
      <c r="H926" s="756"/>
      <c r="I926" s="757"/>
      <c r="J926" s="757"/>
      <c r="K926" s="757"/>
    </row>
    <row r="927" spans="1:11" s="510" customFormat="1" ht="74.25" hidden="1" customHeight="1">
      <c r="A927" s="753"/>
      <c r="B927" s="753"/>
      <c r="C927" s="754"/>
      <c r="D927" s="754"/>
      <c r="E927" s="754"/>
      <c r="F927" s="755"/>
      <c r="G927" s="758"/>
      <c r="H927" s="756"/>
      <c r="I927" s="757"/>
      <c r="J927" s="757"/>
      <c r="K927" s="757"/>
    </row>
    <row r="928" spans="1:11" s="510" customFormat="1" ht="74.25" hidden="1" customHeight="1">
      <c r="A928" s="753"/>
      <c r="B928" s="753"/>
      <c r="C928" s="754"/>
      <c r="D928" s="754"/>
      <c r="E928" s="754"/>
      <c r="F928" s="755"/>
      <c r="G928" s="758"/>
      <c r="H928" s="756"/>
      <c r="I928" s="757"/>
      <c r="J928" s="757"/>
      <c r="K928" s="757"/>
    </row>
    <row r="929" spans="1:11" s="510" customFormat="1" ht="74.25" hidden="1" customHeight="1">
      <c r="A929" s="753"/>
      <c r="B929" s="753"/>
      <c r="C929" s="754"/>
      <c r="D929" s="754"/>
      <c r="E929" s="754"/>
      <c r="F929" s="755"/>
      <c r="G929" s="758"/>
      <c r="H929" s="756"/>
      <c r="I929" s="757"/>
      <c r="J929" s="757"/>
      <c r="K929" s="757"/>
    </row>
    <row r="930" spans="1:11" s="510" customFormat="1" ht="74.25" hidden="1" customHeight="1">
      <c r="A930" s="753"/>
      <c r="B930" s="753"/>
      <c r="C930" s="754"/>
      <c r="D930" s="754"/>
      <c r="E930" s="754"/>
      <c r="F930" s="755"/>
      <c r="G930" s="758"/>
      <c r="H930" s="756"/>
      <c r="I930" s="757"/>
      <c r="J930" s="757"/>
      <c r="K930" s="757"/>
    </row>
    <row r="931" spans="1:11" s="510" customFormat="1" ht="74.25" hidden="1" customHeight="1">
      <c r="A931" s="753"/>
      <c r="B931" s="753"/>
      <c r="C931" s="754"/>
      <c r="D931" s="754"/>
      <c r="E931" s="754"/>
      <c r="F931" s="755"/>
      <c r="G931" s="758"/>
      <c r="H931" s="756"/>
      <c r="I931" s="757"/>
      <c r="J931" s="757"/>
      <c r="K931" s="757"/>
    </row>
    <row r="932" spans="1:11" s="510" customFormat="1" ht="74.25" hidden="1" customHeight="1">
      <c r="A932" s="753"/>
      <c r="B932" s="753"/>
      <c r="C932" s="754"/>
      <c r="D932" s="754"/>
      <c r="E932" s="754"/>
      <c r="F932" s="755"/>
      <c r="G932" s="758"/>
      <c r="H932" s="756"/>
      <c r="I932" s="757"/>
      <c r="J932" s="757"/>
      <c r="K932" s="757"/>
    </row>
    <row r="933" spans="1:11" s="510" customFormat="1" ht="74.25" hidden="1" customHeight="1">
      <c r="A933" s="753"/>
      <c r="B933" s="753"/>
      <c r="C933" s="754"/>
      <c r="D933" s="754"/>
      <c r="E933" s="754"/>
      <c r="F933" s="755"/>
      <c r="G933" s="758"/>
      <c r="H933" s="756"/>
      <c r="I933" s="757"/>
      <c r="J933" s="757"/>
      <c r="K933" s="757"/>
    </row>
    <row r="934" spans="1:11" s="510" customFormat="1" ht="74.25" hidden="1" customHeight="1">
      <c r="A934" s="753"/>
      <c r="B934" s="753"/>
      <c r="C934" s="754"/>
      <c r="D934" s="754"/>
      <c r="E934" s="754"/>
      <c r="F934" s="755"/>
      <c r="G934" s="758"/>
      <c r="H934" s="756"/>
      <c r="I934" s="757"/>
      <c r="J934" s="757"/>
      <c r="K934" s="757"/>
    </row>
    <row r="935" spans="1:11" ht="34.5" hidden="1" customHeight="1">
      <c r="A935" s="1128" t="s">
        <v>51</v>
      </c>
      <c r="B935" s="1128"/>
      <c r="C935" s="1128"/>
      <c r="D935" s="1128"/>
      <c r="E935" s="1128"/>
      <c r="F935" s="1128"/>
      <c r="G935" s="1128"/>
      <c r="H935" s="1128"/>
      <c r="I935" s="1128"/>
      <c r="J935" s="1128"/>
      <c r="K935" s="1128"/>
    </row>
    <row r="936" spans="1:11" ht="30.75" hidden="1" customHeight="1">
      <c r="A936" s="1128" t="s">
        <v>52</v>
      </c>
      <c r="B936" s="1128"/>
      <c r="C936" s="1128"/>
      <c r="D936" s="1128"/>
      <c r="E936" s="1128"/>
      <c r="F936" s="1128"/>
      <c r="G936" s="1128"/>
      <c r="H936" s="1128"/>
      <c r="I936" s="1128"/>
      <c r="J936" s="1128"/>
      <c r="K936" s="1128"/>
    </row>
    <row r="937" spans="1:11" ht="33" hidden="1" customHeight="1">
      <c r="A937" s="1132" t="s">
        <v>50</v>
      </c>
      <c r="B937" s="1132"/>
      <c r="C937" s="1132"/>
      <c r="D937" s="1132"/>
      <c r="E937" s="1132"/>
      <c r="F937" s="1132"/>
      <c r="G937" s="1132"/>
      <c r="H937" s="1132"/>
      <c r="I937" s="1132"/>
      <c r="J937" s="1132"/>
      <c r="K937" s="1132"/>
    </row>
    <row r="938" spans="1:11" ht="33" hidden="1" customHeight="1">
      <c r="A938" s="154"/>
      <c r="B938" s="154"/>
      <c r="C938" s="154"/>
      <c r="D938" s="154"/>
      <c r="E938" s="154"/>
      <c r="F938" s="154"/>
      <c r="G938" s="707"/>
      <c r="H938" s="707"/>
      <c r="I938" s="707"/>
      <c r="J938" s="707"/>
      <c r="K938" s="707"/>
    </row>
    <row r="939" spans="1:11" ht="35.25" hidden="1">
      <c r="A939" s="1128" t="s">
        <v>1336</v>
      </c>
      <c r="B939" s="1128"/>
      <c r="C939" s="1128"/>
      <c r="D939" s="1128"/>
      <c r="E939" s="1128"/>
      <c r="F939" s="1128"/>
      <c r="G939" s="1128"/>
      <c r="H939" s="1128"/>
      <c r="I939" s="1128"/>
      <c r="J939" s="1128"/>
      <c r="K939" s="1128"/>
    </row>
    <row r="940" spans="1:11" s="620" customFormat="1" ht="33" hidden="1">
      <c r="A940" s="65"/>
      <c r="B940" s="65"/>
      <c r="C940" s="65"/>
      <c r="D940" s="65"/>
      <c r="E940" s="65"/>
      <c r="F940" s="65"/>
      <c r="G940" s="68"/>
      <c r="H940" s="68"/>
      <c r="I940" s="68"/>
      <c r="J940" s="68"/>
      <c r="K940" s="68"/>
    </row>
    <row r="941" spans="1:11" ht="20.100000000000001" hidden="1" customHeight="1">
      <c r="A941" s="65"/>
      <c r="B941" s="65"/>
      <c r="C941" s="65"/>
      <c r="D941" s="65"/>
      <c r="E941" s="65"/>
      <c r="F941" s="65"/>
      <c r="G941" s="68"/>
      <c r="H941" s="68"/>
      <c r="I941" s="68"/>
      <c r="J941" s="68"/>
      <c r="K941" s="68"/>
    </row>
    <row r="942" spans="1:11" ht="20.100000000000001" hidden="1" customHeight="1">
      <c r="A942" s="979"/>
      <c r="B942" s="979"/>
      <c r="C942" s="979"/>
      <c r="D942" s="979"/>
      <c r="E942" s="979"/>
      <c r="F942" s="979"/>
      <c r="G942" s="979"/>
      <c r="H942" s="979"/>
      <c r="I942" s="979"/>
      <c r="J942" s="979"/>
      <c r="K942" s="979"/>
    </row>
    <row r="943" spans="1:11" ht="45.75" hidden="1" customHeight="1">
      <c r="A943" s="1030" t="s">
        <v>1383</v>
      </c>
      <c r="B943" s="1030"/>
      <c r="C943" s="1030"/>
      <c r="D943" s="1030"/>
      <c r="E943" s="1030"/>
      <c r="F943" s="1030"/>
      <c r="G943" s="1030"/>
      <c r="H943" s="1030"/>
      <c r="I943" s="1030"/>
      <c r="J943" s="1030"/>
      <c r="K943" s="1030"/>
    </row>
    <row r="944" spans="1:11" ht="66" hidden="1" customHeight="1">
      <c r="A944" s="1031" t="s">
        <v>37</v>
      </c>
      <c r="B944" s="1033"/>
      <c r="C944" s="1037" t="s">
        <v>178</v>
      </c>
      <c r="D944" s="1037" t="s">
        <v>179</v>
      </c>
      <c r="E944" s="1037" t="s">
        <v>1521</v>
      </c>
      <c r="F944" s="1037" t="s">
        <v>14</v>
      </c>
      <c r="G944" s="1037" t="s">
        <v>1515</v>
      </c>
      <c r="H944" s="1037" t="s">
        <v>16</v>
      </c>
      <c r="I944" s="1039" t="s">
        <v>1490</v>
      </c>
      <c r="J944" s="1039" t="s">
        <v>2203</v>
      </c>
      <c r="K944" s="1037" t="s">
        <v>200</v>
      </c>
    </row>
    <row r="945" spans="1:11" s="500" customFormat="1" ht="30" hidden="1">
      <c r="A945" s="1034"/>
      <c r="B945" s="1036"/>
      <c r="C945" s="1038"/>
      <c r="D945" s="1038"/>
      <c r="E945" s="1038"/>
      <c r="F945" s="1038"/>
      <c r="G945" s="1038"/>
      <c r="H945" s="1038"/>
      <c r="I945" s="1039"/>
      <c r="J945" s="1039"/>
      <c r="K945" s="1038"/>
    </row>
    <row r="946" spans="1:11" s="500" customFormat="1" ht="74.25" hidden="1" customHeight="1">
      <c r="A946" s="1102" t="s">
        <v>2070</v>
      </c>
      <c r="B946" s="1103"/>
      <c r="C946" s="729"/>
      <c r="D946" s="729"/>
      <c r="E946" s="726"/>
      <c r="F946" s="727"/>
      <c r="G946" s="728"/>
      <c r="H946" s="728"/>
      <c r="I946" s="642">
        <f>I949+I953+I947</f>
        <v>186247.8</v>
      </c>
      <c r="J946" s="642">
        <f>J949+J953+J947</f>
        <v>124165.20000000001</v>
      </c>
      <c r="K946" s="642">
        <f>I946+J946</f>
        <v>310413</v>
      </c>
    </row>
    <row r="947" spans="1:11" s="579" customFormat="1" ht="73.5" hidden="1" customHeight="1">
      <c r="A947" s="1011" t="s">
        <v>2251</v>
      </c>
      <c r="B947" s="1012"/>
      <c r="C947" s="1012"/>
      <c r="D947" s="1012"/>
      <c r="E947" s="1012"/>
      <c r="F947" s="1013"/>
      <c r="G947" s="709"/>
      <c r="H947" s="710"/>
      <c r="I947" s="545">
        <f>SUM(I948:I948)</f>
        <v>3600</v>
      </c>
      <c r="J947" s="545">
        <f>SUM(J948:J948)</f>
        <v>2400</v>
      </c>
      <c r="K947" s="545">
        <f>I947+J947</f>
        <v>6000</v>
      </c>
    </row>
    <row r="948" spans="1:11" s="510" customFormat="1" ht="74.25" hidden="1" customHeight="1">
      <c r="A948" s="1020" t="s">
        <v>2071</v>
      </c>
      <c r="B948" s="1022"/>
      <c r="C948" s="714" t="s">
        <v>1544</v>
      </c>
      <c r="D948" s="714"/>
      <c r="E948" s="714" t="s">
        <v>1544</v>
      </c>
      <c r="F948" s="829" t="s">
        <v>2267</v>
      </c>
      <c r="G948" s="827">
        <v>8100</v>
      </c>
      <c r="H948" s="828" t="s">
        <v>2273</v>
      </c>
      <c r="I948" s="717">
        <f>K948/100*60</f>
        <v>3600</v>
      </c>
      <c r="J948" s="717">
        <f>K948/100*40</f>
        <v>2400</v>
      </c>
      <c r="K948" s="717">
        <v>6000</v>
      </c>
    </row>
    <row r="949" spans="1:11" ht="75" hidden="1" customHeight="1">
      <c r="A949" s="1011" t="s">
        <v>1541</v>
      </c>
      <c r="B949" s="1013"/>
      <c r="C949" s="709"/>
      <c r="D949" s="709"/>
      <c r="E949" s="709"/>
      <c r="F949" s="708"/>
      <c r="G949" s="709"/>
      <c r="H949" s="710"/>
      <c r="I949" s="545">
        <f>SUM(I950:I952)</f>
        <v>177415.8</v>
      </c>
      <c r="J949" s="545">
        <f>SUM(J950:J952)</f>
        <v>118277.20000000001</v>
      </c>
      <c r="K949" s="545">
        <f>I949+J949</f>
        <v>295693</v>
      </c>
    </row>
    <row r="950" spans="1:11" s="510" customFormat="1" ht="75" hidden="1" customHeight="1">
      <c r="A950" s="1020" t="s">
        <v>2068</v>
      </c>
      <c r="B950" s="1022"/>
      <c r="C950" s="714" t="s">
        <v>1544</v>
      </c>
      <c r="D950" s="714"/>
      <c r="E950" s="714" t="s">
        <v>1544</v>
      </c>
      <c r="F950" s="829" t="s">
        <v>2229</v>
      </c>
      <c r="G950" s="1047">
        <v>8100</v>
      </c>
      <c r="H950" s="1099" t="s">
        <v>2273</v>
      </c>
      <c r="I950" s="717">
        <f>K950/100*60</f>
        <v>53400</v>
      </c>
      <c r="J950" s="717">
        <f>K950/100*40</f>
        <v>35600</v>
      </c>
      <c r="K950" s="717">
        <v>89000</v>
      </c>
    </row>
    <row r="951" spans="1:11" s="510" customFormat="1" ht="74.25" hidden="1" customHeight="1">
      <c r="A951" s="1020" t="s">
        <v>1546</v>
      </c>
      <c r="B951" s="1022"/>
      <c r="C951" s="714" t="s">
        <v>1544</v>
      </c>
      <c r="D951" s="714"/>
      <c r="E951" s="714" t="s">
        <v>1544</v>
      </c>
      <c r="F951" s="829" t="s">
        <v>2230</v>
      </c>
      <c r="G951" s="1048"/>
      <c r="H951" s="1100"/>
      <c r="I951" s="717">
        <f>K951/100*60</f>
        <v>27600</v>
      </c>
      <c r="J951" s="717">
        <f>K951/100*40</f>
        <v>18400</v>
      </c>
      <c r="K951" s="717">
        <v>46000</v>
      </c>
    </row>
    <row r="952" spans="1:11" s="510" customFormat="1" ht="75" hidden="1" customHeight="1">
      <c r="A952" s="1020" t="s">
        <v>2069</v>
      </c>
      <c r="B952" s="1022"/>
      <c r="C952" s="714" t="s">
        <v>1544</v>
      </c>
      <c r="D952" s="714"/>
      <c r="E952" s="714" t="s">
        <v>1544</v>
      </c>
      <c r="F952" s="829" t="s">
        <v>2231</v>
      </c>
      <c r="G952" s="1048"/>
      <c r="H952" s="1100"/>
      <c r="I952" s="717">
        <f>K952/100*60</f>
        <v>96415.8</v>
      </c>
      <c r="J952" s="717">
        <f>K952/100*40</f>
        <v>64277.200000000004</v>
      </c>
      <c r="K952" s="717">
        <v>160693</v>
      </c>
    </row>
    <row r="953" spans="1:11" ht="73.5" hidden="1" customHeight="1">
      <c r="A953" s="1011" t="s">
        <v>312</v>
      </c>
      <c r="B953" s="1013"/>
      <c r="C953" s="709"/>
      <c r="D953" s="709"/>
      <c r="E953" s="709"/>
      <c r="F953" s="708"/>
      <c r="G953" s="709"/>
      <c r="H953" s="710"/>
      <c r="I953" s="545">
        <f>SUM(I954:I954)</f>
        <v>5232</v>
      </c>
      <c r="J953" s="545">
        <f>SUM(J954:J954)</f>
        <v>3488</v>
      </c>
      <c r="K953" s="545">
        <f>I953+J953</f>
        <v>8720</v>
      </c>
    </row>
    <row r="954" spans="1:11" s="510" customFormat="1" ht="74.25" hidden="1" customHeight="1">
      <c r="A954" s="1020" t="s">
        <v>2072</v>
      </c>
      <c r="B954" s="1022"/>
      <c r="C954" s="714" t="s">
        <v>1544</v>
      </c>
      <c r="D954" s="714"/>
      <c r="E954" s="714" t="s">
        <v>1544</v>
      </c>
      <c r="F954" s="833" t="s">
        <v>2224</v>
      </c>
      <c r="G954" s="827">
        <v>8100</v>
      </c>
      <c r="H954" s="828" t="s">
        <v>2273</v>
      </c>
      <c r="I954" s="717">
        <f>K954/100*60</f>
        <v>5232</v>
      </c>
      <c r="J954" s="717">
        <f>K954/100*40</f>
        <v>3488</v>
      </c>
      <c r="K954" s="717">
        <v>8720</v>
      </c>
    </row>
    <row r="955" spans="1:11" ht="100.5" hidden="1" customHeight="1">
      <c r="A955" s="1021"/>
      <c r="B955" s="1021"/>
      <c r="C955" s="1021"/>
      <c r="D955" s="1021"/>
      <c r="E955" s="1021"/>
      <c r="F955" s="1021"/>
      <c r="G955" s="1021"/>
      <c r="H955" s="1021"/>
      <c r="I955" s="1021"/>
      <c r="J955" s="1021"/>
      <c r="K955" s="1021"/>
    </row>
    <row r="956" spans="1:11" s="743" customFormat="1" ht="36.75" hidden="1" customHeight="1">
      <c r="A956" s="1135"/>
      <c r="B956" s="1136"/>
      <c r="C956" s="738"/>
      <c r="D956" s="738"/>
      <c r="E956" s="739"/>
      <c r="F956" s="740"/>
      <c r="G956" s="741"/>
      <c r="H956" s="741"/>
      <c r="I956" s="742"/>
      <c r="J956" s="742"/>
      <c r="K956" s="742"/>
    </row>
    <row r="957" spans="1:11" ht="66" hidden="1" customHeight="1">
      <c r="A957" s="1031" t="s">
        <v>37</v>
      </c>
      <c r="B957" s="1033"/>
      <c r="C957" s="1037" t="s">
        <v>178</v>
      </c>
      <c r="D957" s="1037" t="s">
        <v>179</v>
      </c>
      <c r="E957" s="1037" t="s">
        <v>1521</v>
      </c>
      <c r="F957" s="1037" t="s">
        <v>14</v>
      </c>
      <c r="G957" s="1037" t="s">
        <v>1515</v>
      </c>
      <c r="H957" s="1037" t="s">
        <v>16</v>
      </c>
      <c r="I957" s="1039" t="s">
        <v>1490</v>
      </c>
      <c r="J957" s="1039" t="s">
        <v>2203</v>
      </c>
      <c r="K957" s="1037" t="s">
        <v>200</v>
      </c>
    </row>
    <row r="958" spans="1:11" s="500" customFormat="1" ht="30" hidden="1">
      <c r="A958" s="1034"/>
      <c r="B958" s="1036"/>
      <c r="C958" s="1038"/>
      <c r="D958" s="1038"/>
      <c r="E958" s="1038"/>
      <c r="F958" s="1038"/>
      <c r="G958" s="1038"/>
      <c r="H958" s="1038"/>
      <c r="I958" s="1039"/>
      <c r="J958" s="1039"/>
      <c r="K958" s="1038"/>
    </row>
    <row r="959" spans="1:11" s="500" customFormat="1" ht="74.25" hidden="1" customHeight="1">
      <c r="A959" s="1102" t="s">
        <v>2137</v>
      </c>
      <c r="B959" s="1103"/>
      <c r="C959" s="729"/>
      <c r="D959" s="729"/>
      <c r="E959" s="726"/>
      <c r="F959" s="727"/>
      <c r="G959" s="728"/>
      <c r="H959" s="728"/>
      <c r="I959" s="642">
        <f>I962+I974+I960+I972</f>
        <v>284751.00000000006</v>
      </c>
      <c r="J959" s="642">
        <f>J962+J974+J960+J972</f>
        <v>189834</v>
      </c>
      <c r="K959" s="642">
        <f>I959+J959</f>
        <v>474585.00000000006</v>
      </c>
    </row>
    <row r="960" spans="1:11" s="579" customFormat="1" ht="73.5" hidden="1" customHeight="1">
      <c r="A960" s="1011" t="s">
        <v>2251</v>
      </c>
      <c r="B960" s="1012"/>
      <c r="C960" s="1012"/>
      <c r="D960" s="1012"/>
      <c r="E960" s="1012"/>
      <c r="F960" s="1013"/>
      <c r="G960" s="709"/>
      <c r="H960" s="710"/>
      <c r="I960" s="545">
        <f>SUM(I961:I961)</f>
        <v>50820</v>
      </c>
      <c r="J960" s="545">
        <f>SUM(J961:J961)</f>
        <v>33880</v>
      </c>
      <c r="K960" s="545">
        <f>I960+J960</f>
        <v>84700</v>
      </c>
    </row>
    <row r="961" spans="1:11" s="510" customFormat="1" ht="74.25" hidden="1" customHeight="1">
      <c r="A961" s="1020" t="s">
        <v>2138</v>
      </c>
      <c r="B961" s="1022"/>
      <c r="C961" s="714" t="s">
        <v>147</v>
      </c>
      <c r="D961" s="714">
        <v>193</v>
      </c>
      <c r="E961" s="714" t="s">
        <v>2148</v>
      </c>
      <c r="F961" s="829" t="s">
        <v>2268</v>
      </c>
      <c r="G961" s="827">
        <v>8100</v>
      </c>
      <c r="H961" s="828" t="s">
        <v>2273</v>
      </c>
      <c r="I961" s="717">
        <f>K961/100*60</f>
        <v>50820</v>
      </c>
      <c r="J961" s="717">
        <f>K961/100*40</f>
        <v>33880</v>
      </c>
      <c r="K961" s="717">
        <v>84700</v>
      </c>
    </row>
    <row r="962" spans="1:11" ht="75" hidden="1" customHeight="1">
      <c r="A962" s="1011" t="s">
        <v>1541</v>
      </c>
      <c r="B962" s="1013"/>
      <c r="C962" s="709"/>
      <c r="D962" s="709"/>
      <c r="E962" s="709"/>
      <c r="F962" s="708"/>
      <c r="G962" s="709"/>
      <c r="H962" s="710"/>
      <c r="I962" s="545">
        <f>SUM(I963:I971)</f>
        <v>196490.22000000003</v>
      </c>
      <c r="J962" s="545">
        <f>SUM(J963:J971)</f>
        <v>130993.48000000001</v>
      </c>
      <c r="K962" s="545">
        <f>I962+J962</f>
        <v>327483.70000000007</v>
      </c>
    </row>
    <row r="963" spans="1:11" s="510" customFormat="1" ht="74.25" hidden="1" customHeight="1">
      <c r="A963" s="1020" t="s">
        <v>2139</v>
      </c>
      <c r="B963" s="1022"/>
      <c r="C963" s="714" t="s">
        <v>1827</v>
      </c>
      <c r="D963" s="714">
        <v>25</v>
      </c>
      <c r="E963" s="714" t="s">
        <v>2149</v>
      </c>
      <c r="F963" s="1044" t="s">
        <v>2229</v>
      </c>
      <c r="G963" s="1047">
        <v>8100</v>
      </c>
      <c r="H963" s="1099" t="s">
        <v>2273</v>
      </c>
      <c r="I963" s="717">
        <f t="shared" ref="I963:I971" si="37">K963/100*60</f>
        <v>10272</v>
      </c>
      <c r="J963" s="717">
        <f t="shared" ref="J963:J971" si="38">K963/100*40</f>
        <v>6848</v>
      </c>
      <c r="K963" s="717">
        <v>17120</v>
      </c>
    </row>
    <row r="964" spans="1:11" s="510" customFormat="1" ht="75" hidden="1" customHeight="1">
      <c r="A964" s="1020" t="s">
        <v>2140</v>
      </c>
      <c r="B964" s="1022"/>
      <c r="C964" s="714" t="s">
        <v>2144</v>
      </c>
      <c r="D964" s="714">
        <v>5</v>
      </c>
      <c r="E964" s="714" t="s">
        <v>2150</v>
      </c>
      <c r="F964" s="1045"/>
      <c r="G964" s="1048"/>
      <c r="H964" s="1100"/>
      <c r="I964" s="717">
        <f t="shared" si="37"/>
        <v>6993.6</v>
      </c>
      <c r="J964" s="717">
        <f t="shared" si="38"/>
        <v>4662.3999999999996</v>
      </c>
      <c r="K964" s="717">
        <v>11656</v>
      </c>
    </row>
    <row r="965" spans="1:11" s="510" customFormat="1" ht="75" hidden="1" customHeight="1">
      <c r="A965" s="1020" t="s">
        <v>506</v>
      </c>
      <c r="B965" s="1022"/>
      <c r="C965" s="714" t="s">
        <v>2145</v>
      </c>
      <c r="D965" s="714">
        <v>5</v>
      </c>
      <c r="E965" s="714" t="s">
        <v>2151</v>
      </c>
      <c r="F965" s="1045"/>
      <c r="G965" s="1048"/>
      <c r="H965" s="1100"/>
      <c r="I965" s="717">
        <f t="shared" si="37"/>
        <v>13846.62</v>
      </c>
      <c r="J965" s="717">
        <f t="shared" si="38"/>
        <v>9231.08</v>
      </c>
      <c r="K965" s="717">
        <v>23077.7</v>
      </c>
    </row>
    <row r="966" spans="1:11" s="510" customFormat="1" ht="75" hidden="1" customHeight="1">
      <c r="A966" s="1020" t="s">
        <v>2007</v>
      </c>
      <c r="B966" s="1022"/>
      <c r="C966" s="714" t="s">
        <v>2039</v>
      </c>
      <c r="D966" s="714">
        <v>10</v>
      </c>
      <c r="E966" s="714" t="s">
        <v>2152</v>
      </c>
      <c r="F966" s="1046"/>
      <c r="G966" s="1048"/>
      <c r="H966" s="1100"/>
      <c r="I966" s="717">
        <f t="shared" si="37"/>
        <v>24000</v>
      </c>
      <c r="J966" s="717">
        <f t="shared" si="38"/>
        <v>16000</v>
      </c>
      <c r="K966" s="717">
        <v>40000</v>
      </c>
    </row>
    <row r="967" spans="1:11" s="510" customFormat="1" ht="75" hidden="1" customHeight="1">
      <c r="A967" s="1020" t="s">
        <v>2141</v>
      </c>
      <c r="B967" s="1022"/>
      <c r="C967" s="714" t="s">
        <v>1677</v>
      </c>
      <c r="D967" s="744">
        <v>10000</v>
      </c>
      <c r="E967" s="714" t="s">
        <v>2153</v>
      </c>
      <c r="F967" s="1045" t="s">
        <v>2230</v>
      </c>
      <c r="G967" s="1048"/>
      <c r="H967" s="1100"/>
      <c r="I967" s="717">
        <f t="shared" si="37"/>
        <v>34271.4</v>
      </c>
      <c r="J967" s="717">
        <f t="shared" si="38"/>
        <v>22847.600000000002</v>
      </c>
      <c r="K967" s="717">
        <v>57119</v>
      </c>
    </row>
    <row r="968" spans="1:11" s="510" customFormat="1" ht="75" hidden="1" customHeight="1">
      <c r="A968" s="1020" t="s">
        <v>2142</v>
      </c>
      <c r="B968" s="1022"/>
      <c r="C968" s="714" t="s">
        <v>2146</v>
      </c>
      <c r="D968" s="714">
        <v>8</v>
      </c>
      <c r="E968" s="714" t="s">
        <v>2153</v>
      </c>
      <c r="F968" s="1046"/>
      <c r="G968" s="1048"/>
      <c r="H968" s="1100"/>
      <c r="I968" s="717">
        <f t="shared" si="37"/>
        <v>62543.400000000009</v>
      </c>
      <c r="J968" s="717">
        <f t="shared" si="38"/>
        <v>41695.600000000006</v>
      </c>
      <c r="K968" s="717">
        <v>104239</v>
      </c>
    </row>
    <row r="969" spans="1:11" s="510" customFormat="1" ht="75" hidden="1" customHeight="1">
      <c r="A969" s="1020" t="s">
        <v>2143</v>
      </c>
      <c r="B969" s="1022"/>
      <c r="C969" s="714" t="s">
        <v>2147</v>
      </c>
      <c r="D969" s="714">
        <v>4</v>
      </c>
      <c r="E969" s="714" t="s">
        <v>2153</v>
      </c>
      <c r="F969" s="1044" t="s">
        <v>2231</v>
      </c>
      <c r="G969" s="1048"/>
      <c r="H969" s="1100"/>
      <c r="I969" s="717">
        <f t="shared" si="37"/>
        <v>12000</v>
      </c>
      <c r="J969" s="717">
        <f t="shared" si="38"/>
        <v>8000</v>
      </c>
      <c r="K969" s="717">
        <v>20000</v>
      </c>
    </row>
    <row r="970" spans="1:11" s="510" customFormat="1" ht="75" hidden="1" customHeight="1">
      <c r="A970" s="1020" t="s">
        <v>1808</v>
      </c>
      <c r="B970" s="1022"/>
      <c r="C970" s="714" t="s">
        <v>2147</v>
      </c>
      <c r="D970" s="714">
        <v>4</v>
      </c>
      <c r="E970" s="714" t="s">
        <v>2153</v>
      </c>
      <c r="F970" s="1045"/>
      <c r="G970" s="1048"/>
      <c r="H970" s="1100"/>
      <c r="I970" s="717">
        <f t="shared" si="37"/>
        <v>6000</v>
      </c>
      <c r="J970" s="717">
        <f t="shared" si="38"/>
        <v>4000</v>
      </c>
      <c r="K970" s="717">
        <v>10000</v>
      </c>
    </row>
    <row r="971" spans="1:11" s="510" customFormat="1" ht="75" hidden="1" customHeight="1">
      <c r="A971" s="1020" t="s">
        <v>1809</v>
      </c>
      <c r="B971" s="1022"/>
      <c r="C971" s="714" t="s">
        <v>2147</v>
      </c>
      <c r="D971" s="714">
        <v>6</v>
      </c>
      <c r="E971" s="714" t="s">
        <v>2153</v>
      </c>
      <c r="F971" s="1046"/>
      <c r="G971" s="1049"/>
      <c r="H971" s="1101"/>
      <c r="I971" s="717">
        <f t="shared" si="37"/>
        <v>26563.200000000001</v>
      </c>
      <c r="J971" s="717">
        <f t="shared" si="38"/>
        <v>17708.800000000003</v>
      </c>
      <c r="K971" s="717">
        <v>44272</v>
      </c>
    </row>
    <row r="972" spans="1:11" ht="74.25" hidden="1" customHeight="1">
      <c r="A972" s="1011" t="s">
        <v>278</v>
      </c>
      <c r="B972" s="1013"/>
      <c r="C972" s="504"/>
      <c r="D972" s="709"/>
      <c r="E972" s="709"/>
      <c r="F972" s="708"/>
      <c r="G972" s="709"/>
      <c r="H972" s="710"/>
      <c r="I972" s="545">
        <f>SUM(I973)</f>
        <v>31986.780000000002</v>
      </c>
      <c r="J972" s="545">
        <f>SUM(J973)</f>
        <v>21324.520000000004</v>
      </c>
      <c r="K972" s="545">
        <f>I972+J972</f>
        <v>53311.3</v>
      </c>
    </row>
    <row r="973" spans="1:11" s="510" customFormat="1" ht="74.25" hidden="1" customHeight="1">
      <c r="A973" s="1020" t="s">
        <v>2004</v>
      </c>
      <c r="B973" s="1022"/>
      <c r="C973" s="714" t="s">
        <v>1215</v>
      </c>
      <c r="D973" s="714">
        <v>50</v>
      </c>
      <c r="E973" s="725" t="s">
        <v>2154</v>
      </c>
      <c r="F973" s="833" t="s">
        <v>2234</v>
      </c>
      <c r="G973" s="835">
        <v>8100</v>
      </c>
      <c r="H973" s="834" t="s">
        <v>2445</v>
      </c>
      <c r="I973" s="717">
        <f>K973/100*60</f>
        <v>31986.780000000002</v>
      </c>
      <c r="J973" s="717">
        <f>K973/100*40</f>
        <v>21324.520000000004</v>
      </c>
      <c r="K973" s="717">
        <v>53311.3</v>
      </c>
    </row>
    <row r="974" spans="1:11" ht="73.5" hidden="1" customHeight="1">
      <c r="A974" s="1011" t="s">
        <v>312</v>
      </c>
      <c r="B974" s="1013"/>
      <c r="C974" s="709"/>
      <c r="D974" s="709"/>
      <c r="E974" s="709"/>
      <c r="F974" s="708"/>
      <c r="G974" s="709"/>
      <c r="H974" s="710"/>
      <c r="I974" s="545">
        <f>SUM(I975:I975)</f>
        <v>5454</v>
      </c>
      <c r="J974" s="545">
        <f>SUM(J975:J975)</f>
        <v>3636</v>
      </c>
      <c r="K974" s="545">
        <f>I974+J974</f>
        <v>9090</v>
      </c>
    </row>
    <row r="975" spans="1:11" s="510" customFormat="1" ht="74.25" hidden="1" customHeight="1">
      <c r="A975" s="1020" t="s">
        <v>1799</v>
      </c>
      <c r="B975" s="1022"/>
      <c r="C975" s="714" t="s">
        <v>1677</v>
      </c>
      <c r="D975" s="714">
        <v>30</v>
      </c>
      <c r="E975" s="714" t="s">
        <v>2155</v>
      </c>
      <c r="F975" s="833" t="s">
        <v>2224</v>
      </c>
      <c r="G975" s="835">
        <v>8100</v>
      </c>
      <c r="H975" s="834" t="s">
        <v>2273</v>
      </c>
      <c r="I975" s="717">
        <f>K975/100*60</f>
        <v>5454</v>
      </c>
      <c r="J975" s="717">
        <f>K975/100*40</f>
        <v>3636</v>
      </c>
      <c r="K975" s="717">
        <v>9090</v>
      </c>
    </row>
    <row r="976" spans="1:11" s="510" customFormat="1" ht="74.25" hidden="1" customHeight="1">
      <c r="A976" s="753"/>
      <c r="B976" s="753"/>
      <c r="C976" s="754"/>
      <c r="D976" s="754"/>
      <c r="E976" s="754"/>
      <c r="F976" s="755"/>
      <c r="G976" s="758"/>
      <c r="H976" s="756"/>
      <c r="I976" s="757"/>
      <c r="J976" s="757"/>
      <c r="K976" s="757"/>
    </row>
    <row r="977" spans="1:11" s="510" customFormat="1" ht="74.25" hidden="1" customHeight="1">
      <c r="A977" s="753"/>
      <c r="B977" s="753"/>
      <c r="C977" s="754"/>
      <c r="D977" s="754"/>
      <c r="E977" s="754"/>
      <c r="F977" s="755"/>
      <c r="G977" s="758"/>
      <c r="H977" s="756"/>
      <c r="I977" s="757"/>
      <c r="J977" s="757"/>
      <c r="K977" s="757"/>
    </row>
    <row r="978" spans="1:11" ht="34.5" hidden="1" customHeight="1">
      <c r="A978" s="1128" t="s">
        <v>51</v>
      </c>
      <c r="B978" s="1128"/>
      <c r="C978" s="1128"/>
      <c r="D978" s="1128"/>
      <c r="E978" s="1128"/>
      <c r="F978" s="1128"/>
      <c r="G978" s="1128"/>
      <c r="H978" s="1128"/>
      <c r="I978" s="1128"/>
      <c r="J978" s="1128"/>
      <c r="K978" s="1128"/>
    </row>
    <row r="979" spans="1:11" ht="30.75" hidden="1" customHeight="1">
      <c r="A979" s="1128" t="s">
        <v>52</v>
      </c>
      <c r="B979" s="1128"/>
      <c r="C979" s="1128"/>
      <c r="D979" s="1128"/>
      <c r="E979" s="1128"/>
      <c r="F979" s="1128"/>
      <c r="G979" s="1128"/>
      <c r="H979" s="1128"/>
      <c r="I979" s="1128"/>
      <c r="J979" s="1128"/>
      <c r="K979" s="1128"/>
    </row>
    <row r="980" spans="1:11" ht="33" hidden="1" customHeight="1">
      <c r="A980" s="1132" t="s">
        <v>50</v>
      </c>
      <c r="B980" s="1132"/>
      <c r="C980" s="1132"/>
      <c r="D980" s="1132"/>
      <c r="E980" s="1132"/>
      <c r="F980" s="1132"/>
      <c r="G980" s="1132"/>
      <c r="H980" s="1132"/>
      <c r="I980" s="1132"/>
      <c r="J980" s="1132"/>
      <c r="K980" s="1132"/>
    </row>
    <row r="981" spans="1:11" ht="33" hidden="1" customHeight="1">
      <c r="A981" s="154"/>
      <c r="B981" s="154"/>
      <c r="C981" s="154"/>
      <c r="D981" s="154"/>
      <c r="E981" s="154"/>
      <c r="F981" s="154"/>
      <c r="G981" s="707"/>
      <c r="H981" s="707"/>
      <c r="I981" s="707"/>
      <c r="J981" s="707"/>
      <c r="K981" s="707"/>
    </row>
    <row r="982" spans="1:11" ht="35.25" hidden="1">
      <c r="A982" s="1128" t="s">
        <v>1336</v>
      </c>
      <c r="B982" s="1128"/>
      <c r="C982" s="1128"/>
      <c r="D982" s="1128"/>
      <c r="E982" s="1128"/>
      <c r="F982" s="1128"/>
      <c r="G982" s="1128"/>
      <c r="H982" s="1128"/>
      <c r="I982" s="1128"/>
      <c r="J982" s="1128"/>
      <c r="K982" s="1128"/>
    </row>
    <row r="983" spans="1:11" s="620" customFormat="1" ht="33" hidden="1">
      <c r="A983" s="65"/>
      <c r="B983" s="65"/>
      <c r="C983" s="65"/>
      <c r="D983" s="65"/>
      <c r="E983" s="65"/>
      <c r="F983" s="65"/>
      <c r="G983" s="68"/>
      <c r="H983" s="68"/>
      <c r="I983" s="68"/>
      <c r="J983" s="68"/>
      <c r="K983" s="68"/>
    </row>
    <row r="984" spans="1:11" ht="20.100000000000001" hidden="1" customHeight="1">
      <c r="A984" s="65"/>
      <c r="B984" s="65"/>
      <c r="C984" s="65"/>
      <c r="D984" s="65"/>
      <c r="E984" s="65"/>
      <c r="F984" s="65"/>
      <c r="G984" s="68"/>
      <c r="H984" s="68"/>
      <c r="I984" s="68"/>
      <c r="J984" s="68"/>
      <c r="K984" s="68"/>
    </row>
    <row r="985" spans="1:11" ht="20.100000000000001" hidden="1" customHeight="1">
      <c r="A985" s="979"/>
      <c r="B985" s="979"/>
      <c r="C985" s="979"/>
      <c r="D985" s="979"/>
      <c r="E985" s="979"/>
      <c r="F985" s="979"/>
      <c r="G985" s="979"/>
      <c r="H985" s="979"/>
      <c r="I985" s="979"/>
      <c r="J985" s="979"/>
      <c r="K985" s="979"/>
    </row>
    <row r="986" spans="1:11" ht="45.75" hidden="1" customHeight="1">
      <c r="A986" s="1030" t="s">
        <v>1383</v>
      </c>
      <c r="B986" s="1030"/>
      <c r="C986" s="1030"/>
      <c r="D986" s="1030"/>
      <c r="E986" s="1030"/>
      <c r="F986" s="1030"/>
      <c r="G986" s="1030"/>
      <c r="H986" s="1030"/>
      <c r="I986" s="1030"/>
      <c r="J986" s="1030"/>
      <c r="K986" s="1030"/>
    </row>
    <row r="987" spans="1:11" ht="66" hidden="1" customHeight="1">
      <c r="A987" s="1031" t="s">
        <v>37</v>
      </c>
      <c r="B987" s="1033"/>
      <c r="C987" s="1037" t="s">
        <v>178</v>
      </c>
      <c r="D987" s="1037" t="s">
        <v>179</v>
      </c>
      <c r="E987" s="1037" t="s">
        <v>1521</v>
      </c>
      <c r="F987" s="1037" t="s">
        <v>14</v>
      </c>
      <c r="G987" s="1037" t="s">
        <v>1515</v>
      </c>
      <c r="H987" s="1037" t="s">
        <v>16</v>
      </c>
      <c r="I987" s="1039" t="s">
        <v>1490</v>
      </c>
      <c r="J987" s="1039" t="s">
        <v>2203</v>
      </c>
      <c r="K987" s="1037" t="s">
        <v>200</v>
      </c>
    </row>
    <row r="988" spans="1:11" s="500" customFormat="1" ht="30" hidden="1">
      <c r="A988" s="1034"/>
      <c r="B988" s="1036"/>
      <c r="C988" s="1038"/>
      <c r="D988" s="1038"/>
      <c r="E988" s="1038"/>
      <c r="F988" s="1038"/>
      <c r="G988" s="1038"/>
      <c r="H988" s="1038"/>
      <c r="I988" s="1039"/>
      <c r="J988" s="1039"/>
      <c r="K988" s="1038"/>
    </row>
    <row r="989" spans="1:11" s="500" customFormat="1" ht="74.25" hidden="1" customHeight="1">
      <c r="A989" s="1102" t="s">
        <v>2174</v>
      </c>
      <c r="B989" s="1103"/>
      <c r="C989" s="729"/>
      <c r="D989" s="729"/>
      <c r="E989" s="726"/>
      <c r="F989" s="727"/>
      <c r="G989" s="728"/>
      <c r="H989" s="728"/>
      <c r="I989" s="642">
        <f>I990+I998+I996</f>
        <v>65636.399999999994</v>
      </c>
      <c r="J989" s="642">
        <f>J990+J998+J996</f>
        <v>43757.599999999999</v>
      </c>
      <c r="K989" s="642">
        <f>I989+J989</f>
        <v>109394</v>
      </c>
    </row>
    <row r="990" spans="1:11" ht="75" hidden="1" customHeight="1">
      <c r="A990" s="1011" t="s">
        <v>1541</v>
      </c>
      <c r="B990" s="1013"/>
      <c r="C990" s="709"/>
      <c r="D990" s="709"/>
      <c r="E990" s="709"/>
      <c r="F990" s="708"/>
      <c r="G990" s="709"/>
      <c r="H990" s="710"/>
      <c r="I990" s="545">
        <f>SUM(I991:I995)</f>
        <v>56276.4</v>
      </c>
      <c r="J990" s="545">
        <f>SUM(J991:J995)</f>
        <v>37517.599999999999</v>
      </c>
      <c r="K990" s="545">
        <f>I990+J990</f>
        <v>93794</v>
      </c>
    </row>
    <row r="991" spans="1:11" s="510" customFormat="1" ht="75" hidden="1" customHeight="1">
      <c r="A991" s="1020" t="s">
        <v>2186</v>
      </c>
      <c r="B991" s="1022"/>
      <c r="C991" s="714" t="s">
        <v>2175</v>
      </c>
      <c r="D991" s="714">
        <v>7</v>
      </c>
      <c r="E991" s="714" t="s">
        <v>2175</v>
      </c>
      <c r="F991" s="829" t="s">
        <v>2229</v>
      </c>
      <c r="G991" s="1047">
        <v>8100</v>
      </c>
      <c r="H991" s="1099" t="s">
        <v>2273</v>
      </c>
      <c r="I991" s="717">
        <f>K991/100*60</f>
        <v>4200</v>
      </c>
      <c r="J991" s="717">
        <f>K991/100*40</f>
        <v>2800</v>
      </c>
      <c r="K991" s="717">
        <v>7000</v>
      </c>
    </row>
    <row r="992" spans="1:11" s="510" customFormat="1" ht="75" hidden="1" customHeight="1">
      <c r="A992" s="1020" t="s">
        <v>2187</v>
      </c>
      <c r="B992" s="1022"/>
      <c r="C992" s="714" t="s">
        <v>1621</v>
      </c>
      <c r="D992" s="714">
        <v>5</v>
      </c>
      <c r="E992" s="714" t="s">
        <v>2176</v>
      </c>
      <c r="F992" s="833" t="s">
        <v>2236</v>
      </c>
      <c r="G992" s="1048"/>
      <c r="H992" s="1100"/>
      <c r="I992" s="717">
        <f>K992/100*60</f>
        <v>17856</v>
      </c>
      <c r="J992" s="717">
        <f>K992/100*40</f>
        <v>11904</v>
      </c>
      <c r="K992" s="717">
        <v>29760</v>
      </c>
    </row>
    <row r="993" spans="1:11" s="510" customFormat="1" ht="74.25" hidden="1" customHeight="1">
      <c r="A993" s="1020" t="s">
        <v>2188</v>
      </c>
      <c r="B993" s="1022"/>
      <c r="C993" s="714" t="s">
        <v>2177</v>
      </c>
      <c r="D993" s="714">
        <v>3</v>
      </c>
      <c r="E993" s="714" t="s">
        <v>2178</v>
      </c>
      <c r="F993" s="829" t="s">
        <v>2230</v>
      </c>
      <c r="G993" s="1048"/>
      <c r="H993" s="1100"/>
      <c r="I993" s="717">
        <f>K993/100*60</f>
        <v>16142.400000000001</v>
      </c>
      <c r="J993" s="717">
        <f>K993/100*40</f>
        <v>10761.6</v>
      </c>
      <c r="K993" s="717">
        <v>26904</v>
      </c>
    </row>
    <row r="994" spans="1:11" s="510" customFormat="1" ht="75" hidden="1" customHeight="1">
      <c r="A994" s="1020" t="s">
        <v>1840</v>
      </c>
      <c r="B994" s="1022"/>
      <c r="C994" s="714" t="s">
        <v>2179</v>
      </c>
      <c r="D994" s="714">
        <v>10</v>
      </c>
      <c r="E994" s="714" t="s">
        <v>2180</v>
      </c>
      <c r="F994" s="1044" t="s">
        <v>2231</v>
      </c>
      <c r="G994" s="1048"/>
      <c r="H994" s="1100"/>
      <c r="I994" s="717">
        <f>K994/100*60</f>
        <v>9078</v>
      </c>
      <c r="J994" s="717">
        <f>K994/100*40</f>
        <v>6052</v>
      </c>
      <c r="K994" s="717">
        <v>15130</v>
      </c>
    </row>
    <row r="995" spans="1:11" s="510" customFormat="1" ht="75" hidden="1" customHeight="1">
      <c r="A995" s="1020" t="s">
        <v>2189</v>
      </c>
      <c r="B995" s="1022"/>
      <c r="C995" s="714" t="s">
        <v>2181</v>
      </c>
      <c r="D995" s="714">
        <v>45</v>
      </c>
      <c r="E995" s="714" t="s">
        <v>2182</v>
      </c>
      <c r="F995" s="1046"/>
      <c r="G995" s="1048"/>
      <c r="H995" s="1100"/>
      <c r="I995" s="717">
        <f>K995/100*60</f>
        <v>9000</v>
      </c>
      <c r="J995" s="717">
        <f>K995/100*40</f>
        <v>6000</v>
      </c>
      <c r="K995" s="717">
        <v>15000</v>
      </c>
    </row>
    <row r="996" spans="1:11" ht="74.25" hidden="1" customHeight="1">
      <c r="A996" s="1011" t="s">
        <v>278</v>
      </c>
      <c r="B996" s="1013"/>
      <c r="C996" s="504"/>
      <c r="D996" s="709"/>
      <c r="E996" s="709"/>
      <c r="F996" s="708"/>
      <c r="G996" s="709"/>
      <c r="H996" s="710"/>
      <c r="I996" s="545">
        <f>SUM(I997)</f>
        <v>3960</v>
      </c>
      <c r="J996" s="545">
        <f>SUM(J997)</f>
        <v>2640</v>
      </c>
      <c r="K996" s="545">
        <f>I996+J996</f>
        <v>6600</v>
      </c>
    </row>
    <row r="997" spans="1:11" s="510" customFormat="1" ht="74.25" hidden="1" customHeight="1">
      <c r="A997" s="1020" t="s">
        <v>2004</v>
      </c>
      <c r="B997" s="1022"/>
      <c r="C997" s="714" t="s">
        <v>1215</v>
      </c>
      <c r="D997" s="714">
        <v>5</v>
      </c>
      <c r="E997" s="725" t="s">
        <v>2183</v>
      </c>
      <c r="F997" s="833" t="s">
        <v>2234</v>
      </c>
      <c r="G997" s="835">
        <v>8100</v>
      </c>
      <c r="H997" s="834" t="s">
        <v>2445</v>
      </c>
      <c r="I997" s="717">
        <f>K997/100*60</f>
        <v>3960</v>
      </c>
      <c r="J997" s="717">
        <f>K997/100*40</f>
        <v>2640</v>
      </c>
      <c r="K997" s="717">
        <v>6600</v>
      </c>
    </row>
    <row r="998" spans="1:11" ht="73.5" hidden="1" customHeight="1">
      <c r="A998" s="1011" t="s">
        <v>312</v>
      </c>
      <c r="B998" s="1013"/>
      <c r="C998" s="709"/>
      <c r="D998" s="709"/>
      <c r="E998" s="709"/>
      <c r="F998" s="708"/>
      <c r="G998" s="709"/>
      <c r="H998" s="710"/>
      <c r="I998" s="545">
        <f>SUM(I999:I999)</f>
        <v>5400</v>
      </c>
      <c r="J998" s="545">
        <f>SUM(J999:J999)</f>
        <v>3600</v>
      </c>
      <c r="K998" s="545">
        <f>I998+J998</f>
        <v>9000</v>
      </c>
    </row>
    <row r="999" spans="1:11" s="510" customFormat="1" ht="74.25" hidden="1" customHeight="1">
      <c r="A999" s="1020" t="s">
        <v>2190</v>
      </c>
      <c r="B999" s="1022"/>
      <c r="C999" s="714" t="s">
        <v>2184</v>
      </c>
      <c r="D999" s="714">
        <v>2</v>
      </c>
      <c r="E999" s="714" t="s">
        <v>2185</v>
      </c>
      <c r="F999" s="833" t="s">
        <v>2224</v>
      </c>
      <c r="G999" s="827">
        <v>8100</v>
      </c>
      <c r="H999" s="828" t="s">
        <v>2273</v>
      </c>
      <c r="I999" s="717">
        <f>K999/100*60</f>
        <v>5400</v>
      </c>
      <c r="J999" s="717">
        <f>K999/100*40</f>
        <v>3600</v>
      </c>
      <c r="K999" s="717">
        <v>9000</v>
      </c>
    </row>
    <row r="1000" spans="1:11" s="743" customFormat="1" ht="36.75" hidden="1" customHeight="1">
      <c r="A1000" s="1135"/>
      <c r="B1000" s="1136"/>
      <c r="C1000" s="738"/>
      <c r="D1000" s="738"/>
      <c r="E1000" s="739"/>
      <c r="F1000" s="740"/>
      <c r="G1000" s="741"/>
      <c r="H1000" s="741"/>
      <c r="I1000" s="742"/>
      <c r="J1000" s="742"/>
      <c r="K1000" s="742"/>
    </row>
    <row r="1001" spans="1:11" ht="66" hidden="1" customHeight="1">
      <c r="A1001" s="1031" t="s">
        <v>37</v>
      </c>
      <c r="B1001" s="1033"/>
      <c r="C1001" s="1037" t="s">
        <v>178</v>
      </c>
      <c r="D1001" s="1037" t="s">
        <v>179</v>
      </c>
      <c r="E1001" s="1037" t="s">
        <v>1521</v>
      </c>
      <c r="F1001" s="1037" t="s">
        <v>14</v>
      </c>
      <c r="G1001" s="1037" t="s">
        <v>1515</v>
      </c>
      <c r="H1001" s="1037" t="s">
        <v>16</v>
      </c>
      <c r="I1001" s="1039" t="s">
        <v>1490</v>
      </c>
      <c r="J1001" s="1039" t="s">
        <v>2203</v>
      </c>
      <c r="K1001" s="1037" t="s">
        <v>200</v>
      </c>
    </row>
    <row r="1002" spans="1:11" s="500" customFormat="1" ht="30" hidden="1">
      <c r="A1002" s="1034"/>
      <c r="B1002" s="1036"/>
      <c r="C1002" s="1038"/>
      <c r="D1002" s="1038"/>
      <c r="E1002" s="1038"/>
      <c r="F1002" s="1038"/>
      <c r="G1002" s="1038"/>
      <c r="H1002" s="1038"/>
      <c r="I1002" s="1039"/>
      <c r="J1002" s="1039"/>
      <c r="K1002" s="1038"/>
    </row>
    <row r="1003" spans="1:11" s="500" customFormat="1" ht="74.25" hidden="1" customHeight="1">
      <c r="A1003" s="1102" t="s">
        <v>2003</v>
      </c>
      <c r="B1003" s="1103"/>
      <c r="C1003" s="729"/>
      <c r="D1003" s="729"/>
      <c r="E1003" s="726"/>
      <c r="F1003" s="727"/>
      <c r="G1003" s="728"/>
      <c r="H1003" s="728"/>
      <c r="I1003" s="642">
        <f>I1007+I1016+I1004+I1014</f>
        <v>215945.4</v>
      </c>
      <c r="J1003" s="642">
        <f>J1007+J1016+J1004+J1014</f>
        <v>143963.6</v>
      </c>
      <c r="K1003" s="642">
        <f>I1003+J1003</f>
        <v>359909</v>
      </c>
    </row>
    <row r="1004" spans="1:11" s="579" customFormat="1" ht="73.5" hidden="1" customHeight="1">
      <c r="A1004" s="1011" t="s">
        <v>2251</v>
      </c>
      <c r="B1004" s="1012"/>
      <c r="C1004" s="1012"/>
      <c r="D1004" s="1012"/>
      <c r="E1004" s="1012"/>
      <c r="F1004" s="1013"/>
      <c r="G1004" s="709"/>
      <c r="H1004" s="710"/>
      <c r="I1004" s="545">
        <f>SUM(I1005:I1006)</f>
        <v>35784</v>
      </c>
      <c r="J1004" s="545">
        <f>SUM(J1005:J1006)</f>
        <v>23856</v>
      </c>
      <c r="K1004" s="545">
        <f>I1004+J1004</f>
        <v>59640</v>
      </c>
    </row>
    <row r="1005" spans="1:11" s="510" customFormat="1" ht="74.25" hidden="1" customHeight="1">
      <c r="A1005" s="1020" t="s">
        <v>2005</v>
      </c>
      <c r="B1005" s="1022"/>
      <c r="C1005" s="714" t="s">
        <v>147</v>
      </c>
      <c r="D1005" s="714">
        <v>160</v>
      </c>
      <c r="E1005" s="714" t="s">
        <v>2014</v>
      </c>
      <c r="F1005" s="829" t="s">
        <v>2269</v>
      </c>
      <c r="G1005" s="1047">
        <v>8100</v>
      </c>
      <c r="H1005" s="1099" t="s">
        <v>2273</v>
      </c>
      <c r="I1005" s="717">
        <f>K1005/100*60</f>
        <v>24378</v>
      </c>
      <c r="J1005" s="717">
        <f>K1005/100*40</f>
        <v>16252</v>
      </c>
      <c r="K1005" s="717">
        <v>40630</v>
      </c>
    </row>
    <row r="1006" spans="1:11" s="510" customFormat="1" ht="74.25" hidden="1" customHeight="1">
      <c r="A1006" s="1020" t="s">
        <v>2006</v>
      </c>
      <c r="B1006" s="1022"/>
      <c r="C1006" s="714" t="s">
        <v>147</v>
      </c>
      <c r="D1006" s="714">
        <v>40</v>
      </c>
      <c r="E1006" s="714" t="s">
        <v>2014</v>
      </c>
      <c r="F1006" s="829" t="s">
        <v>2270</v>
      </c>
      <c r="G1006" s="1048"/>
      <c r="H1006" s="1100"/>
      <c r="I1006" s="717">
        <f>K1006/100*60</f>
        <v>11406</v>
      </c>
      <c r="J1006" s="717">
        <f>K1006/100*40</f>
        <v>7604</v>
      </c>
      <c r="K1006" s="717">
        <v>19010</v>
      </c>
    </row>
    <row r="1007" spans="1:11" ht="75" hidden="1" customHeight="1">
      <c r="A1007" s="1011" t="s">
        <v>1541</v>
      </c>
      <c r="B1007" s="1013"/>
      <c r="C1007" s="709"/>
      <c r="D1007" s="709"/>
      <c r="E1007" s="709"/>
      <c r="F1007" s="708"/>
      <c r="G1007" s="709"/>
      <c r="H1007" s="710"/>
      <c r="I1007" s="545">
        <f>SUM(I1008:I1013)</f>
        <v>143924.4</v>
      </c>
      <c r="J1007" s="545">
        <f>SUM(J1008:J1013)</f>
        <v>95949.6</v>
      </c>
      <c r="K1007" s="545">
        <f>I1007+J1007</f>
        <v>239874</v>
      </c>
    </row>
    <row r="1008" spans="1:11" s="510" customFormat="1" ht="75" hidden="1" customHeight="1">
      <c r="A1008" s="1020" t="s">
        <v>2007</v>
      </c>
      <c r="B1008" s="1022"/>
      <c r="C1008" s="714" t="s">
        <v>2015</v>
      </c>
      <c r="D1008" s="714">
        <v>4</v>
      </c>
      <c r="E1008" s="714" t="s">
        <v>2022</v>
      </c>
      <c r="F1008" s="1044" t="s">
        <v>2229</v>
      </c>
      <c r="G1008" s="1047">
        <v>8100</v>
      </c>
      <c r="H1008" s="1099" t="s">
        <v>2273</v>
      </c>
      <c r="I1008" s="717">
        <f t="shared" ref="I1008:I1013" si="39">K1008/100*60</f>
        <v>12000</v>
      </c>
      <c r="J1008" s="717">
        <f t="shared" ref="J1008:J1013" si="40">K1008/100*40</f>
        <v>8000</v>
      </c>
      <c r="K1008" s="717">
        <v>20000</v>
      </c>
    </row>
    <row r="1009" spans="1:11" s="510" customFormat="1" ht="74.25" hidden="1" customHeight="1">
      <c r="A1009" s="1020" t="s">
        <v>2008</v>
      </c>
      <c r="B1009" s="1022"/>
      <c r="C1009" s="714" t="s">
        <v>2016</v>
      </c>
      <c r="D1009" s="714">
        <v>10</v>
      </c>
      <c r="E1009" s="714" t="s">
        <v>2023</v>
      </c>
      <c r="F1009" s="1045"/>
      <c r="G1009" s="1048"/>
      <c r="H1009" s="1100"/>
      <c r="I1009" s="717">
        <f t="shared" si="39"/>
        <v>1724.3999999999999</v>
      </c>
      <c r="J1009" s="717">
        <f t="shared" si="40"/>
        <v>1149.5999999999999</v>
      </c>
      <c r="K1009" s="717">
        <v>2874</v>
      </c>
    </row>
    <row r="1010" spans="1:11" s="510" customFormat="1" ht="75" hidden="1" customHeight="1">
      <c r="A1010" s="1020" t="s">
        <v>2010</v>
      </c>
      <c r="B1010" s="1022"/>
      <c r="C1010" s="714" t="s">
        <v>2017</v>
      </c>
      <c r="D1010" s="714">
        <v>200</v>
      </c>
      <c r="E1010" s="714" t="s">
        <v>2024</v>
      </c>
      <c r="F1010" s="1046"/>
      <c r="G1010" s="1048"/>
      <c r="H1010" s="1100"/>
      <c r="I1010" s="717">
        <f t="shared" si="39"/>
        <v>28200</v>
      </c>
      <c r="J1010" s="717">
        <f t="shared" si="40"/>
        <v>18800</v>
      </c>
      <c r="K1010" s="717">
        <v>47000</v>
      </c>
    </row>
    <row r="1011" spans="1:11" s="510" customFormat="1" ht="75" hidden="1" customHeight="1">
      <c r="A1011" s="1020" t="s">
        <v>2009</v>
      </c>
      <c r="B1011" s="1022"/>
      <c r="C1011" s="714" t="s">
        <v>2018</v>
      </c>
      <c r="D1011" s="714">
        <v>80</v>
      </c>
      <c r="E1011" s="714" t="s">
        <v>2022</v>
      </c>
      <c r="F1011" s="829" t="s">
        <v>2230</v>
      </c>
      <c r="G1011" s="1048"/>
      <c r="H1011" s="1100"/>
      <c r="I1011" s="717">
        <f t="shared" si="39"/>
        <v>42000</v>
      </c>
      <c r="J1011" s="717">
        <f t="shared" si="40"/>
        <v>28000</v>
      </c>
      <c r="K1011" s="717">
        <v>70000</v>
      </c>
    </row>
    <row r="1012" spans="1:11" s="510" customFormat="1" ht="75" hidden="1" customHeight="1">
      <c r="A1012" s="1020" t="s">
        <v>2011</v>
      </c>
      <c r="B1012" s="1022"/>
      <c r="C1012" s="714" t="s">
        <v>2019</v>
      </c>
      <c r="D1012" s="714">
        <v>170</v>
      </c>
      <c r="E1012" s="714" t="s">
        <v>2025</v>
      </c>
      <c r="F1012" s="1044" t="s">
        <v>2231</v>
      </c>
      <c r="G1012" s="1048"/>
      <c r="H1012" s="1100"/>
      <c r="I1012" s="717">
        <f t="shared" si="39"/>
        <v>30000</v>
      </c>
      <c r="J1012" s="717">
        <f t="shared" si="40"/>
        <v>20000</v>
      </c>
      <c r="K1012" s="717">
        <v>50000</v>
      </c>
    </row>
    <row r="1013" spans="1:11" s="510" customFormat="1" ht="75" hidden="1" customHeight="1">
      <c r="A1013" s="1020" t="s">
        <v>1840</v>
      </c>
      <c r="B1013" s="1022"/>
      <c r="C1013" s="714" t="s">
        <v>2020</v>
      </c>
      <c r="D1013" s="714">
        <v>20</v>
      </c>
      <c r="E1013" s="714" t="s">
        <v>2026</v>
      </c>
      <c r="F1013" s="1046"/>
      <c r="G1013" s="1049"/>
      <c r="H1013" s="1101"/>
      <c r="I1013" s="717">
        <f t="shared" si="39"/>
        <v>30000</v>
      </c>
      <c r="J1013" s="717">
        <f t="shared" si="40"/>
        <v>20000</v>
      </c>
      <c r="K1013" s="717">
        <v>50000</v>
      </c>
    </row>
    <row r="1014" spans="1:11" ht="74.25" hidden="1" customHeight="1">
      <c r="A1014" s="1011" t="s">
        <v>278</v>
      </c>
      <c r="B1014" s="1013"/>
      <c r="C1014" s="504"/>
      <c r="D1014" s="709"/>
      <c r="E1014" s="709"/>
      <c r="F1014" s="708"/>
      <c r="G1014" s="709"/>
      <c r="H1014" s="710"/>
      <c r="I1014" s="545">
        <f>SUM(I1015)</f>
        <v>18000</v>
      </c>
      <c r="J1014" s="545">
        <f>SUM(J1015)</f>
        <v>12000</v>
      </c>
      <c r="K1014" s="545">
        <f>I1014+J1014</f>
        <v>30000</v>
      </c>
    </row>
    <row r="1015" spans="1:11" s="510" customFormat="1" ht="74.25" hidden="1" customHeight="1">
      <c r="A1015" s="1020" t="s">
        <v>2004</v>
      </c>
      <c r="B1015" s="1022"/>
      <c r="C1015" s="714" t="s">
        <v>1215</v>
      </c>
      <c r="D1015" s="714">
        <v>30</v>
      </c>
      <c r="E1015" s="725" t="s">
        <v>2027</v>
      </c>
      <c r="F1015" s="833" t="s">
        <v>2234</v>
      </c>
      <c r="G1015" s="835">
        <v>8100</v>
      </c>
      <c r="H1015" s="834" t="s">
        <v>2445</v>
      </c>
      <c r="I1015" s="717">
        <f>K1015/100*60</f>
        <v>18000</v>
      </c>
      <c r="J1015" s="717">
        <f>K1015/100*40</f>
        <v>12000</v>
      </c>
      <c r="K1015" s="717">
        <v>30000</v>
      </c>
    </row>
    <row r="1016" spans="1:11" ht="73.5" hidden="1" customHeight="1">
      <c r="A1016" s="1011" t="s">
        <v>312</v>
      </c>
      <c r="B1016" s="1013"/>
      <c r="C1016" s="709"/>
      <c r="D1016" s="709"/>
      <c r="E1016" s="709"/>
      <c r="F1016" s="708"/>
      <c r="G1016" s="709"/>
      <c r="H1016" s="710"/>
      <c r="I1016" s="545">
        <f>SUM(I1017:I1018)</f>
        <v>18237</v>
      </c>
      <c r="J1016" s="545">
        <f>SUM(J1017:J1018)</f>
        <v>12158</v>
      </c>
      <c r="K1016" s="545">
        <f>I1016+J1016</f>
        <v>30395</v>
      </c>
    </row>
    <row r="1017" spans="1:11" s="510" customFormat="1" ht="74.25" hidden="1" customHeight="1">
      <c r="A1017" s="1020" t="s">
        <v>2012</v>
      </c>
      <c r="B1017" s="1022"/>
      <c r="C1017" s="714" t="s">
        <v>2018</v>
      </c>
      <c r="D1017" s="714">
        <v>30</v>
      </c>
      <c r="E1017" s="714" t="s">
        <v>2028</v>
      </c>
      <c r="F1017" s="1044" t="s">
        <v>2224</v>
      </c>
      <c r="G1017" s="1047">
        <v>8100</v>
      </c>
      <c r="H1017" s="1099" t="s">
        <v>2273</v>
      </c>
      <c r="I1017" s="717">
        <f>K1017/100*60</f>
        <v>9000</v>
      </c>
      <c r="J1017" s="717">
        <f>K1017/100*40</f>
        <v>6000</v>
      </c>
      <c r="K1017" s="717">
        <v>15000</v>
      </c>
    </row>
    <row r="1018" spans="1:11" s="510" customFormat="1" ht="74.25" hidden="1" customHeight="1">
      <c r="A1018" s="1020" t="s">
        <v>2013</v>
      </c>
      <c r="B1018" s="1022"/>
      <c r="C1018" s="714" t="s">
        <v>2021</v>
      </c>
      <c r="D1018" s="714">
        <v>10</v>
      </c>
      <c r="E1018" s="714" t="s">
        <v>2029</v>
      </c>
      <c r="F1018" s="1046"/>
      <c r="G1018" s="1049"/>
      <c r="H1018" s="1101"/>
      <c r="I1018" s="717">
        <f>K1018/100*60</f>
        <v>9237</v>
      </c>
      <c r="J1018" s="717">
        <f>K1018/100*40</f>
        <v>6158</v>
      </c>
      <c r="K1018" s="717">
        <v>15395</v>
      </c>
    </row>
    <row r="1019" spans="1:11" ht="106.5" hidden="1" customHeight="1">
      <c r="A1019" s="1141"/>
      <c r="B1019" s="1141"/>
      <c r="C1019" s="1141"/>
      <c r="D1019" s="1141"/>
      <c r="E1019" s="1141"/>
      <c r="F1019" s="1141"/>
      <c r="G1019" s="1141"/>
      <c r="H1019" s="1141"/>
      <c r="I1019" s="1141"/>
      <c r="J1019" s="1141"/>
      <c r="K1019" s="1141"/>
    </row>
    <row r="1020" spans="1:11" ht="36.75" hidden="1" customHeight="1">
      <c r="A1020" s="753"/>
      <c r="B1020" s="753"/>
      <c r="C1020" s="753"/>
      <c r="D1020" s="753"/>
      <c r="E1020" s="753"/>
      <c r="F1020" s="753"/>
      <c r="G1020" s="753"/>
      <c r="H1020" s="753"/>
      <c r="I1020" s="753"/>
      <c r="J1020" s="753"/>
      <c r="K1020" s="753"/>
    </row>
    <row r="1021" spans="1:11" ht="36.75" hidden="1" customHeight="1">
      <c r="A1021" s="753"/>
      <c r="B1021" s="753"/>
      <c r="C1021" s="753"/>
      <c r="D1021" s="753"/>
      <c r="E1021" s="753"/>
      <c r="F1021" s="753"/>
      <c r="G1021" s="753"/>
      <c r="H1021" s="753"/>
      <c r="I1021" s="753"/>
      <c r="J1021" s="753"/>
      <c r="K1021" s="753"/>
    </row>
    <row r="1022" spans="1:11" ht="34.5" hidden="1" customHeight="1">
      <c r="A1022" s="1128" t="s">
        <v>51</v>
      </c>
      <c r="B1022" s="1128"/>
      <c r="C1022" s="1128"/>
      <c r="D1022" s="1128"/>
      <c r="E1022" s="1128"/>
      <c r="F1022" s="1128"/>
      <c r="G1022" s="1128"/>
      <c r="H1022" s="1128"/>
      <c r="I1022" s="1128"/>
      <c r="J1022" s="1128"/>
      <c r="K1022" s="1128"/>
    </row>
    <row r="1023" spans="1:11" ht="30.75" hidden="1" customHeight="1">
      <c r="A1023" s="1128" t="s">
        <v>52</v>
      </c>
      <c r="B1023" s="1128"/>
      <c r="C1023" s="1128"/>
      <c r="D1023" s="1128"/>
      <c r="E1023" s="1128"/>
      <c r="F1023" s="1128"/>
      <c r="G1023" s="1128"/>
      <c r="H1023" s="1128"/>
      <c r="I1023" s="1128"/>
      <c r="J1023" s="1128"/>
      <c r="K1023" s="1128"/>
    </row>
    <row r="1024" spans="1:11" ht="33" hidden="1" customHeight="1">
      <c r="A1024" s="1132" t="s">
        <v>50</v>
      </c>
      <c r="B1024" s="1132"/>
      <c r="C1024" s="1132"/>
      <c r="D1024" s="1132"/>
      <c r="E1024" s="1132"/>
      <c r="F1024" s="1132"/>
      <c r="G1024" s="1132"/>
      <c r="H1024" s="1132"/>
      <c r="I1024" s="1132"/>
      <c r="J1024" s="1132"/>
      <c r="K1024" s="1132"/>
    </row>
    <row r="1025" spans="1:11" ht="33" hidden="1" customHeight="1">
      <c r="A1025" s="154"/>
      <c r="B1025" s="154"/>
      <c r="C1025" s="154"/>
      <c r="D1025" s="154"/>
      <c r="E1025" s="154"/>
      <c r="F1025" s="154"/>
      <c r="G1025" s="707"/>
      <c r="H1025" s="707"/>
      <c r="I1025" s="707"/>
      <c r="J1025" s="707"/>
      <c r="K1025" s="707"/>
    </row>
    <row r="1026" spans="1:11" ht="35.25" hidden="1">
      <c r="A1026" s="1128" t="s">
        <v>1336</v>
      </c>
      <c r="B1026" s="1128"/>
      <c r="C1026" s="1128"/>
      <c r="D1026" s="1128"/>
      <c r="E1026" s="1128"/>
      <c r="F1026" s="1128"/>
      <c r="G1026" s="1128"/>
      <c r="H1026" s="1128"/>
      <c r="I1026" s="1128"/>
      <c r="J1026" s="1128"/>
      <c r="K1026" s="1128"/>
    </row>
    <row r="1027" spans="1:11" s="620" customFormat="1" ht="33" hidden="1">
      <c r="A1027" s="65"/>
      <c r="B1027" s="65"/>
      <c r="C1027" s="65"/>
      <c r="D1027" s="65"/>
      <c r="E1027" s="65"/>
      <c r="F1027" s="65"/>
      <c r="G1027" s="68"/>
      <c r="H1027" s="68"/>
      <c r="I1027" s="68"/>
      <c r="J1027" s="68"/>
      <c r="K1027" s="68"/>
    </row>
    <row r="1028" spans="1:11" ht="20.100000000000001" hidden="1" customHeight="1">
      <c r="A1028" s="65"/>
      <c r="B1028" s="65"/>
      <c r="C1028" s="65"/>
      <c r="D1028" s="65"/>
      <c r="E1028" s="65"/>
      <c r="F1028" s="65"/>
      <c r="G1028" s="68"/>
      <c r="H1028" s="68"/>
      <c r="I1028" s="68"/>
      <c r="J1028" s="68"/>
      <c r="K1028" s="68"/>
    </row>
    <row r="1029" spans="1:11" ht="20.100000000000001" hidden="1" customHeight="1">
      <c r="A1029" s="979"/>
      <c r="B1029" s="979"/>
      <c r="C1029" s="979"/>
      <c r="D1029" s="979"/>
      <c r="E1029" s="979"/>
      <c r="F1029" s="979"/>
      <c r="G1029" s="979"/>
      <c r="H1029" s="979"/>
      <c r="I1029" s="979"/>
      <c r="J1029" s="979"/>
      <c r="K1029" s="979"/>
    </row>
    <row r="1030" spans="1:11" ht="45.75" hidden="1" customHeight="1">
      <c r="A1030" s="1030" t="s">
        <v>1383</v>
      </c>
      <c r="B1030" s="1030"/>
      <c r="C1030" s="1030"/>
      <c r="D1030" s="1030"/>
      <c r="E1030" s="1030"/>
      <c r="F1030" s="1030"/>
      <c r="G1030" s="1030"/>
      <c r="H1030" s="1030"/>
      <c r="I1030" s="1030"/>
      <c r="J1030" s="1030"/>
      <c r="K1030" s="1030"/>
    </row>
    <row r="1031" spans="1:11" ht="66" hidden="1" customHeight="1">
      <c r="A1031" s="1031" t="s">
        <v>37</v>
      </c>
      <c r="B1031" s="1033"/>
      <c r="C1031" s="1037" t="s">
        <v>178</v>
      </c>
      <c r="D1031" s="1037" t="s">
        <v>179</v>
      </c>
      <c r="E1031" s="1037" t="s">
        <v>1521</v>
      </c>
      <c r="F1031" s="1037" t="s">
        <v>14</v>
      </c>
      <c r="G1031" s="1037" t="s">
        <v>1515</v>
      </c>
      <c r="H1031" s="1037" t="s">
        <v>16</v>
      </c>
      <c r="I1031" s="1039" t="s">
        <v>1490</v>
      </c>
      <c r="J1031" s="1039" t="s">
        <v>2203</v>
      </c>
      <c r="K1031" s="1037" t="s">
        <v>200</v>
      </c>
    </row>
    <row r="1032" spans="1:11" s="500" customFormat="1" ht="30" hidden="1">
      <c r="A1032" s="1034"/>
      <c r="B1032" s="1036"/>
      <c r="C1032" s="1038"/>
      <c r="D1032" s="1038"/>
      <c r="E1032" s="1038"/>
      <c r="F1032" s="1038"/>
      <c r="G1032" s="1038"/>
      <c r="H1032" s="1038"/>
      <c r="I1032" s="1039"/>
      <c r="J1032" s="1039"/>
      <c r="K1032" s="1038"/>
    </row>
    <row r="1033" spans="1:11" s="500" customFormat="1" ht="74.25" hidden="1" customHeight="1">
      <c r="A1033" s="1102" t="s">
        <v>2082</v>
      </c>
      <c r="B1033" s="1103"/>
      <c r="C1033" s="729"/>
      <c r="D1033" s="729"/>
      <c r="E1033" s="726"/>
      <c r="F1033" s="727"/>
      <c r="G1033" s="728"/>
      <c r="H1033" s="728"/>
      <c r="I1033" s="642">
        <f>I1038+I1047+I1034+I1045</f>
        <v>280201.8</v>
      </c>
      <c r="J1033" s="642">
        <f>J1038+J1047+J1034+J1045</f>
        <v>186801.2</v>
      </c>
      <c r="K1033" s="642">
        <f>I1033+J1033</f>
        <v>467003</v>
      </c>
    </row>
    <row r="1034" spans="1:11" s="579" customFormat="1" ht="73.5" hidden="1" customHeight="1">
      <c r="A1034" s="1011" t="s">
        <v>2251</v>
      </c>
      <c r="B1034" s="1012"/>
      <c r="C1034" s="1012"/>
      <c r="D1034" s="1012"/>
      <c r="E1034" s="1012"/>
      <c r="F1034" s="1013"/>
      <c r="G1034" s="709"/>
      <c r="H1034" s="710"/>
      <c r="I1034" s="545">
        <f>SUM(I1035:I1037)</f>
        <v>103200</v>
      </c>
      <c r="J1034" s="545">
        <f>SUM(J1035:J1037)</f>
        <v>68800</v>
      </c>
      <c r="K1034" s="545">
        <f>I1034+J1034</f>
        <v>172000</v>
      </c>
    </row>
    <row r="1035" spans="1:11" s="510" customFormat="1" ht="74.25" hidden="1" customHeight="1">
      <c r="A1035" s="1020" t="s">
        <v>2098</v>
      </c>
      <c r="B1035" s="1022"/>
      <c r="C1035" s="714" t="s">
        <v>147</v>
      </c>
      <c r="D1035" s="714">
        <v>80</v>
      </c>
      <c r="E1035" s="714" t="s">
        <v>2101</v>
      </c>
      <c r="F1035" s="829" t="s">
        <v>2271</v>
      </c>
      <c r="G1035" s="1047">
        <v>8100</v>
      </c>
      <c r="H1035" s="1099" t="s">
        <v>2273</v>
      </c>
      <c r="I1035" s="717">
        <f>K1035/100*60</f>
        <v>24600</v>
      </c>
      <c r="J1035" s="717">
        <f>K1035/100*40</f>
        <v>16400</v>
      </c>
      <c r="K1035" s="717">
        <v>41000</v>
      </c>
    </row>
    <row r="1036" spans="1:11" s="510" customFormat="1" ht="74.25" hidden="1" customHeight="1">
      <c r="A1036" s="1020" t="s">
        <v>2099</v>
      </c>
      <c r="B1036" s="1022"/>
      <c r="C1036" s="714" t="s">
        <v>147</v>
      </c>
      <c r="D1036" s="714">
        <v>80</v>
      </c>
      <c r="E1036" s="714" t="s">
        <v>2101</v>
      </c>
      <c r="F1036" s="829" t="s">
        <v>2272</v>
      </c>
      <c r="G1036" s="1048"/>
      <c r="H1036" s="1100"/>
      <c r="I1036" s="717">
        <f>K1036/100*60</f>
        <v>24600</v>
      </c>
      <c r="J1036" s="717">
        <f>K1036/100*40</f>
        <v>16400</v>
      </c>
      <c r="K1036" s="717">
        <v>41000</v>
      </c>
    </row>
    <row r="1037" spans="1:11" s="510" customFormat="1" ht="74.25" hidden="1" customHeight="1">
      <c r="A1037" s="1020" t="s">
        <v>2100</v>
      </c>
      <c r="B1037" s="1022"/>
      <c r="C1037" s="714" t="s">
        <v>147</v>
      </c>
      <c r="D1037" s="714">
        <v>150</v>
      </c>
      <c r="E1037" s="714" t="s">
        <v>2101</v>
      </c>
      <c r="F1037" s="829" t="s">
        <v>2276</v>
      </c>
      <c r="G1037" s="1048"/>
      <c r="H1037" s="1100"/>
      <c r="I1037" s="717">
        <f>K1037/100*60</f>
        <v>54000</v>
      </c>
      <c r="J1037" s="717">
        <f>K1037/100*40</f>
        <v>36000</v>
      </c>
      <c r="K1037" s="717">
        <v>90000</v>
      </c>
    </row>
    <row r="1038" spans="1:11" ht="75" hidden="1" customHeight="1">
      <c r="A1038" s="1011" t="s">
        <v>1541</v>
      </c>
      <c r="B1038" s="1013"/>
      <c r="C1038" s="709"/>
      <c r="D1038" s="709"/>
      <c r="E1038" s="709"/>
      <c r="F1038" s="708"/>
      <c r="G1038" s="709"/>
      <c r="H1038" s="710"/>
      <c r="I1038" s="545">
        <f>SUM(I1039:I1044)</f>
        <v>153001.79999999999</v>
      </c>
      <c r="J1038" s="545">
        <f>SUM(J1039:J1044)</f>
        <v>102001.2</v>
      </c>
      <c r="K1038" s="545">
        <f>I1038+J1038</f>
        <v>255003</v>
      </c>
    </row>
    <row r="1039" spans="1:11" s="510" customFormat="1" ht="74.25" hidden="1" customHeight="1">
      <c r="A1039" s="1020" t="s">
        <v>2112</v>
      </c>
      <c r="B1039" s="1022"/>
      <c r="C1039" s="714" t="s">
        <v>2103</v>
      </c>
      <c r="D1039" s="714">
        <v>5</v>
      </c>
      <c r="E1039" s="714" t="s">
        <v>2104</v>
      </c>
      <c r="F1039" s="1044" t="s">
        <v>2229</v>
      </c>
      <c r="G1039" s="1047">
        <v>8100</v>
      </c>
      <c r="H1039" s="1099" t="s">
        <v>2273</v>
      </c>
      <c r="I1039" s="717">
        <f t="shared" ref="I1039:I1044" si="41">K1039/100*60</f>
        <v>33000</v>
      </c>
      <c r="J1039" s="717">
        <f t="shared" ref="J1039:J1044" si="42">K1039/100*40</f>
        <v>22000</v>
      </c>
      <c r="K1039" s="717">
        <v>55000</v>
      </c>
    </row>
    <row r="1040" spans="1:11" s="510" customFormat="1" ht="75" hidden="1" customHeight="1">
      <c r="A1040" s="1020" t="s">
        <v>2113</v>
      </c>
      <c r="B1040" s="1022"/>
      <c r="C1040" s="714" t="s">
        <v>2103</v>
      </c>
      <c r="D1040" s="714">
        <v>20</v>
      </c>
      <c r="E1040" s="714" t="s">
        <v>2104</v>
      </c>
      <c r="F1040" s="1045"/>
      <c r="G1040" s="1048"/>
      <c r="H1040" s="1100"/>
      <c r="I1040" s="717">
        <f t="shared" si="41"/>
        <v>12000</v>
      </c>
      <c r="J1040" s="717">
        <f t="shared" si="42"/>
        <v>8000</v>
      </c>
      <c r="K1040" s="717">
        <v>20000</v>
      </c>
    </row>
    <row r="1041" spans="1:11" s="510" customFormat="1" ht="75" hidden="1" customHeight="1">
      <c r="A1041" s="1020" t="s">
        <v>2114</v>
      </c>
      <c r="B1041" s="1022"/>
      <c r="C1041" s="714" t="s">
        <v>1906</v>
      </c>
      <c r="D1041" s="714">
        <v>15</v>
      </c>
      <c r="E1041" s="714" t="s">
        <v>2105</v>
      </c>
      <c r="F1041" s="1046"/>
      <c r="G1041" s="1048"/>
      <c r="H1041" s="1100"/>
      <c r="I1041" s="717">
        <f t="shared" si="41"/>
        <v>33000</v>
      </c>
      <c r="J1041" s="717">
        <f t="shared" si="42"/>
        <v>22000</v>
      </c>
      <c r="K1041" s="717">
        <v>55000</v>
      </c>
    </row>
    <row r="1042" spans="1:11" s="510" customFormat="1" ht="75" hidden="1" customHeight="1">
      <c r="A1042" s="1020" t="s">
        <v>1546</v>
      </c>
      <c r="B1042" s="1022"/>
      <c r="C1042" s="714" t="s">
        <v>1677</v>
      </c>
      <c r="D1042" s="714">
        <v>50</v>
      </c>
      <c r="E1042" s="714" t="s">
        <v>2102</v>
      </c>
      <c r="F1042" s="829" t="s">
        <v>2230</v>
      </c>
      <c r="G1042" s="1048"/>
      <c r="H1042" s="1100"/>
      <c r="I1042" s="717">
        <f t="shared" si="41"/>
        <v>51000</v>
      </c>
      <c r="J1042" s="717">
        <f t="shared" si="42"/>
        <v>34000</v>
      </c>
      <c r="K1042" s="717">
        <v>85000</v>
      </c>
    </row>
    <row r="1043" spans="1:11" s="510" customFormat="1" ht="75" hidden="1" customHeight="1">
      <c r="A1043" s="1020" t="s">
        <v>1840</v>
      </c>
      <c r="B1043" s="1022"/>
      <c r="C1043" s="714" t="s">
        <v>2106</v>
      </c>
      <c r="D1043" s="714">
        <v>5</v>
      </c>
      <c r="E1043" s="714" t="s">
        <v>2107</v>
      </c>
      <c r="F1043" s="1044" t="s">
        <v>2231</v>
      </c>
      <c r="G1043" s="1048"/>
      <c r="H1043" s="1100"/>
      <c r="I1043" s="717">
        <f t="shared" si="41"/>
        <v>9000</v>
      </c>
      <c r="J1043" s="717">
        <f t="shared" si="42"/>
        <v>6000</v>
      </c>
      <c r="K1043" s="717">
        <v>15000</v>
      </c>
    </row>
    <row r="1044" spans="1:11" s="510" customFormat="1" ht="75" hidden="1" customHeight="1">
      <c r="A1044" s="1020" t="s">
        <v>2011</v>
      </c>
      <c r="B1044" s="1022"/>
      <c r="C1044" s="714" t="s">
        <v>2108</v>
      </c>
      <c r="D1044" s="714">
        <v>45</v>
      </c>
      <c r="E1044" s="714" t="s">
        <v>1625</v>
      </c>
      <c r="F1044" s="1046"/>
      <c r="G1044" s="1049"/>
      <c r="H1044" s="1101"/>
      <c r="I1044" s="717">
        <f t="shared" si="41"/>
        <v>15001.8</v>
      </c>
      <c r="J1044" s="717">
        <f t="shared" si="42"/>
        <v>10001.200000000001</v>
      </c>
      <c r="K1044" s="717">
        <v>25003</v>
      </c>
    </row>
    <row r="1045" spans="1:11" ht="74.25" hidden="1" customHeight="1">
      <c r="A1045" s="1011" t="s">
        <v>278</v>
      </c>
      <c r="B1045" s="1013"/>
      <c r="C1045" s="504"/>
      <c r="D1045" s="709"/>
      <c r="E1045" s="709"/>
      <c r="F1045" s="708"/>
      <c r="G1045" s="709"/>
      <c r="H1045" s="710"/>
      <c r="I1045" s="545">
        <f>SUM(I1046)</f>
        <v>12000</v>
      </c>
      <c r="J1045" s="545">
        <f>SUM(J1046)</f>
        <v>8000</v>
      </c>
      <c r="K1045" s="545">
        <f>I1045+J1045</f>
        <v>20000</v>
      </c>
    </row>
    <row r="1046" spans="1:11" s="510" customFormat="1" ht="74.25" hidden="1" customHeight="1">
      <c r="A1046" s="1020" t="s">
        <v>2004</v>
      </c>
      <c r="B1046" s="1022"/>
      <c r="C1046" s="714" t="s">
        <v>1215</v>
      </c>
      <c r="D1046" s="714">
        <v>20</v>
      </c>
      <c r="E1046" s="725" t="s">
        <v>2109</v>
      </c>
      <c r="F1046" s="833" t="s">
        <v>2234</v>
      </c>
      <c r="G1046" s="835">
        <v>8100</v>
      </c>
      <c r="H1046" s="834" t="s">
        <v>2445</v>
      </c>
      <c r="I1046" s="717">
        <f>K1046/100*60</f>
        <v>12000</v>
      </c>
      <c r="J1046" s="717">
        <f>K1046/100*40</f>
        <v>8000</v>
      </c>
      <c r="K1046" s="717">
        <v>20000</v>
      </c>
    </row>
    <row r="1047" spans="1:11" ht="73.5" hidden="1" customHeight="1">
      <c r="A1047" s="1011" t="s">
        <v>312</v>
      </c>
      <c r="B1047" s="1013"/>
      <c r="C1047" s="709"/>
      <c r="D1047" s="709"/>
      <c r="E1047" s="709"/>
      <c r="F1047" s="708"/>
      <c r="G1047" s="709"/>
      <c r="H1047" s="710"/>
      <c r="I1047" s="545">
        <f>SUM(I1048:I1049)</f>
        <v>12000</v>
      </c>
      <c r="J1047" s="545">
        <f>SUM(J1048:J1049)</f>
        <v>8000</v>
      </c>
      <c r="K1047" s="545">
        <f>I1047+J1047</f>
        <v>20000</v>
      </c>
    </row>
    <row r="1048" spans="1:11" s="510" customFormat="1" ht="74.25" hidden="1" customHeight="1">
      <c r="A1048" s="1020" t="s">
        <v>2115</v>
      </c>
      <c r="B1048" s="1022"/>
      <c r="C1048" s="714" t="s">
        <v>2110</v>
      </c>
      <c r="D1048" s="714">
        <v>80</v>
      </c>
      <c r="E1048" s="714" t="s">
        <v>2111</v>
      </c>
      <c r="F1048" s="1044" t="s">
        <v>2224</v>
      </c>
      <c r="G1048" s="1047">
        <v>8100</v>
      </c>
      <c r="H1048" s="1099" t="s">
        <v>2273</v>
      </c>
      <c r="I1048" s="717">
        <f>K1048/100*60</f>
        <v>6000</v>
      </c>
      <c r="J1048" s="717">
        <f>K1048/100*40</f>
        <v>4000</v>
      </c>
      <c r="K1048" s="717">
        <v>10000</v>
      </c>
    </row>
    <row r="1049" spans="1:11" s="510" customFormat="1" ht="74.25" hidden="1" customHeight="1">
      <c r="A1049" s="1020" t="s">
        <v>1546</v>
      </c>
      <c r="B1049" s="1022"/>
      <c r="C1049" s="714" t="s">
        <v>1677</v>
      </c>
      <c r="D1049" s="714">
        <v>50</v>
      </c>
      <c r="E1049" s="714" t="s">
        <v>2102</v>
      </c>
      <c r="F1049" s="1046"/>
      <c r="G1049" s="1049"/>
      <c r="H1049" s="1101"/>
      <c r="I1049" s="717">
        <f>K1049/100*60</f>
        <v>6000</v>
      </c>
      <c r="J1049" s="717">
        <f>K1049/100*40</f>
        <v>4000</v>
      </c>
      <c r="K1049" s="717">
        <v>10000</v>
      </c>
    </row>
    <row r="1050" spans="1:11" ht="114" hidden="1" customHeight="1">
      <c r="A1050" s="1021"/>
      <c r="B1050" s="1021"/>
      <c r="C1050" s="1021"/>
      <c r="D1050" s="1021"/>
      <c r="E1050" s="1021"/>
      <c r="F1050" s="1021"/>
      <c r="G1050" s="1021"/>
      <c r="H1050" s="1021"/>
      <c r="I1050" s="1021"/>
      <c r="J1050" s="1021"/>
      <c r="K1050" s="1021"/>
    </row>
    <row r="1051" spans="1:11" s="743" customFormat="1" ht="36.75" hidden="1" customHeight="1">
      <c r="A1051" s="1135"/>
      <c r="B1051" s="1136"/>
      <c r="C1051" s="738"/>
      <c r="D1051" s="738"/>
      <c r="E1051" s="739"/>
      <c r="F1051" s="740"/>
      <c r="G1051" s="741"/>
      <c r="H1051" s="741"/>
      <c r="I1051" s="742"/>
      <c r="J1051" s="742"/>
      <c r="K1051" s="742"/>
    </row>
    <row r="1052" spans="1:11" ht="66" hidden="1" customHeight="1">
      <c r="A1052" s="1031" t="s">
        <v>37</v>
      </c>
      <c r="B1052" s="1033"/>
      <c r="C1052" s="1037" t="s">
        <v>178</v>
      </c>
      <c r="D1052" s="1037" t="s">
        <v>179</v>
      </c>
      <c r="E1052" s="1037" t="s">
        <v>1521</v>
      </c>
      <c r="F1052" s="1037" t="s">
        <v>14</v>
      </c>
      <c r="G1052" s="1037" t="s">
        <v>1515</v>
      </c>
      <c r="H1052" s="1037" t="s">
        <v>16</v>
      </c>
      <c r="I1052" s="1039" t="s">
        <v>1490</v>
      </c>
      <c r="J1052" s="1039" t="s">
        <v>2203</v>
      </c>
      <c r="K1052" s="1037" t="s">
        <v>200</v>
      </c>
    </row>
    <row r="1053" spans="1:11" s="500" customFormat="1" ht="30" hidden="1">
      <c r="A1053" s="1034"/>
      <c r="B1053" s="1036"/>
      <c r="C1053" s="1038"/>
      <c r="D1053" s="1038"/>
      <c r="E1053" s="1038"/>
      <c r="F1053" s="1038"/>
      <c r="G1053" s="1038"/>
      <c r="H1053" s="1038"/>
      <c r="I1053" s="1039"/>
      <c r="J1053" s="1039"/>
      <c r="K1053" s="1038"/>
    </row>
    <row r="1054" spans="1:11" s="500" customFormat="1" ht="74.25" hidden="1" customHeight="1">
      <c r="A1054" s="1102" t="s">
        <v>2073</v>
      </c>
      <c r="B1054" s="1103"/>
      <c r="C1054" s="729"/>
      <c r="D1054" s="729"/>
      <c r="E1054" s="726"/>
      <c r="F1054" s="727"/>
      <c r="G1054" s="728"/>
      <c r="H1054" s="728"/>
      <c r="I1054" s="642">
        <f>I1055+I1066+I1064</f>
        <v>139721.4</v>
      </c>
      <c r="J1054" s="642">
        <f>J1055+J1066+J1064</f>
        <v>93147.6</v>
      </c>
      <c r="K1054" s="642">
        <f>I1054+J1054</f>
        <v>232869</v>
      </c>
    </row>
    <row r="1055" spans="1:11" ht="75" hidden="1" customHeight="1">
      <c r="A1055" s="1011" t="s">
        <v>1541</v>
      </c>
      <c r="B1055" s="1013"/>
      <c r="C1055" s="709"/>
      <c r="D1055" s="709"/>
      <c r="E1055" s="709"/>
      <c r="F1055" s="708"/>
      <c r="G1055" s="709"/>
      <c r="H1055" s="710"/>
      <c r="I1055" s="545">
        <f>SUM(I1056:I1063)</f>
        <v>123715.20000000001</v>
      </c>
      <c r="J1055" s="545">
        <f>SUM(J1056:J1063)</f>
        <v>82476.800000000003</v>
      </c>
      <c r="K1055" s="545">
        <f>I1055+J1055</f>
        <v>206192</v>
      </c>
    </row>
    <row r="1056" spans="1:11" s="510" customFormat="1" ht="75" hidden="1" customHeight="1">
      <c r="A1056" s="1020" t="s">
        <v>2074</v>
      </c>
      <c r="B1056" s="1022"/>
      <c r="C1056" s="714" t="s">
        <v>1846</v>
      </c>
      <c r="D1056" s="744">
        <v>1621</v>
      </c>
      <c r="E1056" s="714" t="s">
        <v>2089</v>
      </c>
      <c r="F1056" s="1044" t="s">
        <v>2229</v>
      </c>
      <c r="G1056" s="1047">
        <v>8100</v>
      </c>
      <c r="H1056" s="1099" t="s">
        <v>2273</v>
      </c>
      <c r="I1056" s="717">
        <f t="shared" ref="I1056:I1063" si="43">K1056/100*60</f>
        <v>19251</v>
      </c>
      <c r="J1056" s="717">
        <f t="shared" ref="J1056:J1063" si="44">K1056/100*40</f>
        <v>12834</v>
      </c>
      <c r="K1056" s="717">
        <v>32085</v>
      </c>
    </row>
    <row r="1057" spans="1:11" s="510" customFormat="1" ht="75" hidden="1" customHeight="1">
      <c r="A1057" s="1020" t="s">
        <v>2075</v>
      </c>
      <c r="B1057" s="1022"/>
      <c r="C1057" s="714" t="s">
        <v>2083</v>
      </c>
      <c r="D1057" s="714">
        <v>20</v>
      </c>
      <c r="E1057" s="714" t="s">
        <v>2090</v>
      </c>
      <c r="F1057" s="1045"/>
      <c r="G1057" s="1048"/>
      <c r="H1057" s="1100"/>
      <c r="I1057" s="717">
        <f t="shared" si="43"/>
        <v>6000</v>
      </c>
      <c r="J1057" s="717">
        <f t="shared" si="44"/>
        <v>4000</v>
      </c>
      <c r="K1057" s="717">
        <v>10000</v>
      </c>
    </row>
    <row r="1058" spans="1:11" s="510" customFormat="1" ht="75" hidden="1" customHeight="1">
      <c r="A1058" s="1020" t="s">
        <v>2077</v>
      </c>
      <c r="B1058" s="1022"/>
      <c r="C1058" s="714" t="s">
        <v>2084</v>
      </c>
      <c r="D1058" s="714">
        <v>17</v>
      </c>
      <c r="E1058" s="714" t="s">
        <v>2089</v>
      </c>
      <c r="F1058" s="1046"/>
      <c r="G1058" s="1048"/>
      <c r="H1058" s="1100"/>
      <c r="I1058" s="717">
        <f t="shared" si="43"/>
        <v>18720</v>
      </c>
      <c r="J1058" s="717">
        <f t="shared" si="44"/>
        <v>12480</v>
      </c>
      <c r="K1058" s="717">
        <v>31200</v>
      </c>
    </row>
    <row r="1059" spans="1:11" s="510" customFormat="1" ht="75" hidden="1" customHeight="1">
      <c r="A1059" s="1020" t="s">
        <v>2076</v>
      </c>
      <c r="B1059" s="1022"/>
      <c r="C1059" s="714" t="s">
        <v>2084</v>
      </c>
      <c r="D1059" s="714">
        <v>17</v>
      </c>
      <c r="E1059" s="714" t="s">
        <v>2091</v>
      </c>
      <c r="F1059" s="1044" t="s">
        <v>2230</v>
      </c>
      <c r="G1059" s="1048"/>
      <c r="H1059" s="1100"/>
      <c r="I1059" s="717">
        <f t="shared" si="43"/>
        <v>27000</v>
      </c>
      <c r="J1059" s="717">
        <f t="shared" si="44"/>
        <v>18000</v>
      </c>
      <c r="K1059" s="717">
        <v>45000</v>
      </c>
    </row>
    <row r="1060" spans="1:11" s="510" customFormat="1" ht="74.25" hidden="1" customHeight="1">
      <c r="A1060" s="1020" t="s">
        <v>2078</v>
      </c>
      <c r="B1060" s="1022"/>
      <c r="C1060" s="714" t="s">
        <v>1846</v>
      </c>
      <c r="D1060" s="744">
        <v>1620</v>
      </c>
      <c r="E1060" s="714" t="s">
        <v>2092</v>
      </c>
      <c r="F1060" s="1046"/>
      <c r="G1060" s="1048"/>
      <c r="H1060" s="1100"/>
      <c r="I1060" s="717">
        <f t="shared" si="43"/>
        <v>6154.8</v>
      </c>
      <c r="J1060" s="717">
        <f t="shared" si="44"/>
        <v>4103.2</v>
      </c>
      <c r="K1060" s="717">
        <v>10258</v>
      </c>
    </row>
    <row r="1061" spans="1:11" s="510" customFormat="1" ht="75" hidden="1" customHeight="1">
      <c r="A1061" s="1020" t="s">
        <v>2079</v>
      </c>
      <c r="B1061" s="1022"/>
      <c r="C1061" s="714" t="s">
        <v>2085</v>
      </c>
      <c r="D1061" s="714">
        <v>4</v>
      </c>
      <c r="E1061" s="714" t="s">
        <v>2093</v>
      </c>
      <c r="F1061" s="1044" t="s">
        <v>2231</v>
      </c>
      <c r="G1061" s="1048"/>
      <c r="H1061" s="1100"/>
      <c r="I1061" s="717">
        <f t="shared" si="43"/>
        <v>16800</v>
      </c>
      <c r="J1061" s="717">
        <f t="shared" si="44"/>
        <v>11200</v>
      </c>
      <c r="K1061" s="717">
        <v>28000</v>
      </c>
    </row>
    <row r="1062" spans="1:11" s="510" customFormat="1" ht="75" hidden="1" customHeight="1">
      <c r="A1062" s="1020" t="s">
        <v>2080</v>
      </c>
      <c r="B1062" s="1022"/>
      <c r="C1062" s="714" t="s">
        <v>2086</v>
      </c>
      <c r="D1062" s="714">
        <v>121</v>
      </c>
      <c r="E1062" s="714" t="s">
        <v>2094</v>
      </c>
      <c r="F1062" s="1045"/>
      <c r="G1062" s="1048"/>
      <c r="H1062" s="1100"/>
      <c r="I1062" s="717">
        <f t="shared" si="43"/>
        <v>14400</v>
      </c>
      <c r="J1062" s="717">
        <f t="shared" si="44"/>
        <v>9600</v>
      </c>
      <c r="K1062" s="717">
        <v>24000</v>
      </c>
    </row>
    <row r="1063" spans="1:11" s="510" customFormat="1" ht="75" hidden="1" customHeight="1">
      <c r="A1063" s="1020" t="s">
        <v>1549</v>
      </c>
      <c r="B1063" s="1022"/>
      <c r="C1063" s="714" t="s">
        <v>2087</v>
      </c>
      <c r="D1063" s="716">
        <v>0.6</v>
      </c>
      <c r="E1063" s="714" t="s">
        <v>2095</v>
      </c>
      <c r="F1063" s="1046"/>
      <c r="G1063" s="1049"/>
      <c r="H1063" s="1101"/>
      <c r="I1063" s="717">
        <f t="shared" si="43"/>
        <v>15389.400000000001</v>
      </c>
      <c r="J1063" s="717">
        <f t="shared" si="44"/>
        <v>10259.6</v>
      </c>
      <c r="K1063" s="717">
        <v>25649</v>
      </c>
    </row>
    <row r="1064" spans="1:11" ht="74.25" hidden="1" customHeight="1">
      <c r="A1064" s="1011" t="s">
        <v>278</v>
      </c>
      <c r="B1064" s="1013"/>
      <c r="C1064" s="504"/>
      <c r="D1064" s="709"/>
      <c r="E1064" s="709"/>
      <c r="F1064" s="708"/>
      <c r="G1064" s="709"/>
      <c r="H1064" s="710"/>
      <c r="I1064" s="545">
        <f>SUM(I1065)</f>
        <v>6509.4</v>
      </c>
      <c r="J1064" s="545">
        <f>SUM(J1065)</f>
        <v>4339.5999999999995</v>
      </c>
      <c r="K1064" s="545">
        <f>I1064+J1064</f>
        <v>10849</v>
      </c>
    </row>
    <row r="1065" spans="1:11" s="510" customFormat="1" ht="74.25" hidden="1" customHeight="1">
      <c r="A1065" s="1020" t="s">
        <v>2004</v>
      </c>
      <c r="B1065" s="1022"/>
      <c r="C1065" s="714" t="s">
        <v>1215</v>
      </c>
      <c r="D1065" s="714">
        <v>30</v>
      </c>
      <c r="E1065" s="725" t="s">
        <v>2096</v>
      </c>
      <c r="F1065" s="833" t="s">
        <v>2234</v>
      </c>
      <c r="G1065" s="835">
        <v>8100</v>
      </c>
      <c r="H1065" s="834" t="s">
        <v>2445</v>
      </c>
      <c r="I1065" s="717">
        <f>K1065/100*60</f>
        <v>6509.4</v>
      </c>
      <c r="J1065" s="717">
        <f>K1065/100*40</f>
        <v>4339.5999999999995</v>
      </c>
      <c r="K1065" s="717">
        <v>10849</v>
      </c>
    </row>
    <row r="1066" spans="1:11" ht="73.5" hidden="1" customHeight="1">
      <c r="A1066" s="1011" t="s">
        <v>312</v>
      </c>
      <c r="B1066" s="1013"/>
      <c r="C1066" s="709"/>
      <c r="D1066" s="709"/>
      <c r="E1066" s="709"/>
      <c r="F1066" s="708"/>
      <c r="G1066" s="709"/>
      <c r="H1066" s="710"/>
      <c r="I1066" s="545">
        <f>SUM(I1067:I1068)</f>
        <v>9496.7999999999993</v>
      </c>
      <c r="J1066" s="545">
        <f>SUM(J1067:J1068)</f>
        <v>6331.2</v>
      </c>
      <c r="K1066" s="545">
        <f>I1066+J1066</f>
        <v>15828</v>
      </c>
    </row>
    <row r="1067" spans="1:11" s="510" customFormat="1" ht="74.25" hidden="1" customHeight="1">
      <c r="A1067" s="1020" t="s">
        <v>2081</v>
      </c>
      <c r="B1067" s="1022"/>
      <c r="C1067" s="714" t="s">
        <v>2084</v>
      </c>
      <c r="D1067" s="714">
        <v>17</v>
      </c>
      <c r="E1067" s="714" t="s">
        <v>2097</v>
      </c>
      <c r="F1067" s="1044" t="s">
        <v>2224</v>
      </c>
      <c r="G1067" s="1047">
        <v>8100</v>
      </c>
      <c r="H1067" s="1099" t="s">
        <v>2273</v>
      </c>
      <c r="I1067" s="717">
        <f>K1067/100*60</f>
        <v>6000</v>
      </c>
      <c r="J1067" s="717">
        <f>K1067/100*40</f>
        <v>4000</v>
      </c>
      <c r="K1067" s="717">
        <v>10000</v>
      </c>
    </row>
    <row r="1068" spans="1:11" s="510" customFormat="1" ht="74.25" hidden="1" customHeight="1">
      <c r="A1068" s="1020" t="s">
        <v>1556</v>
      </c>
      <c r="B1068" s="1022"/>
      <c r="C1068" s="714" t="s">
        <v>2088</v>
      </c>
      <c r="D1068" s="714">
        <v>10</v>
      </c>
      <c r="E1068" s="714" t="s">
        <v>2097</v>
      </c>
      <c r="F1068" s="1046"/>
      <c r="G1068" s="1049"/>
      <c r="H1068" s="1101"/>
      <c r="I1068" s="717">
        <f>K1068/100*60</f>
        <v>3496.8</v>
      </c>
      <c r="J1068" s="717">
        <f>K1068/100*40</f>
        <v>2331.1999999999998</v>
      </c>
      <c r="K1068" s="717">
        <v>5828</v>
      </c>
    </row>
    <row r="1069" spans="1:11" ht="54.75" hidden="1" customHeight="1">
      <c r="A1069" s="528"/>
      <c r="B1069" s="529"/>
      <c r="C1069" s="529"/>
      <c r="D1069" s="530"/>
      <c r="E1069" s="531"/>
      <c r="F1069" s="532"/>
      <c r="G1069" s="533"/>
      <c r="H1069" s="534"/>
      <c r="I1069" s="535"/>
      <c r="J1069" s="535"/>
      <c r="K1069" s="535"/>
    </row>
    <row r="1070" spans="1:11" s="472" customFormat="1" ht="60" customHeight="1">
      <c r="A1070" s="41"/>
      <c r="B1070" s="27"/>
      <c r="C1070" s="27"/>
      <c r="D1070" s="27"/>
      <c r="E1070" s="27"/>
      <c r="F1070" s="11"/>
      <c r="G1070" s="11"/>
      <c r="H1070" s="11"/>
      <c r="I1070" s="11"/>
      <c r="J1070" s="11"/>
      <c r="K1070" s="11"/>
    </row>
    <row r="1071" spans="1:11" ht="35.1" customHeight="1">
      <c r="I1071" s="429"/>
      <c r="J1071" s="429"/>
    </row>
    <row r="1072" spans="1:11" ht="35.1" customHeight="1">
      <c r="D1072" s="404"/>
      <c r="I1072" s="430"/>
      <c r="J1072" s="430"/>
    </row>
  </sheetData>
  <mergeCells count="1442">
    <mergeCell ref="A508:I508"/>
    <mergeCell ref="A280:B280"/>
    <mergeCell ref="A464:B464"/>
    <mergeCell ref="A313:K313"/>
    <mergeCell ref="A314:K314"/>
    <mergeCell ref="A1067:B1067"/>
    <mergeCell ref="F1067:F1068"/>
    <mergeCell ref="G1067:G1068"/>
    <mergeCell ref="H1067:H1068"/>
    <mergeCell ref="A1068:B1068"/>
    <mergeCell ref="A306:K306"/>
    <mergeCell ref="A307:K307"/>
    <mergeCell ref="A308:K308"/>
    <mergeCell ref="A310:K310"/>
    <mergeCell ref="F1061:F1063"/>
    <mergeCell ref="A1062:B1062"/>
    <mergeCell ref="A1063:B1063"/>
    <mergeCell ref="A1064:B1064"/>
    <mergeCell ref="A1065:B1065"/>
    <mergeCell ref="A1066:B1066"/>
    <mergeCell ref="A1056:B1056"/>
    <mergeCell ref="F1056:F1058"/>
    <mergeCell ref="G1056:G1063"/>
    <mergeCell ref="H1056:H1063"/>
    <mergeCell ref="A1057:B1057"/>
    <mergeCell ref="A1058:B1058"/>
    <mergeCell ref="A1059:B1059"/>
    <mergeCell ref="F1059:F1060"/>
    <mergeCell ref="A1060:B1060"/>
    <mergeCell ref="A1061:B1061"/>
    <mergeCell ref="H1052:H1053"/>
    <mergeCell ref="I1052:I1053"/>
    <mergeCell ref="J1052:J1053"/>
    <mergeCell ref="K1052:K1053"/>
    <mergeCell ref="A1054:B1054"/>
    <mergeCell ref="A1055:B1055"/>
    <mergeCell ref="H1048:H1049"/>
    <mergeCell ref="A1049:B1049"/>
    <mergeCell ref="A1050:K1050"/>
    <mergeCell ref="A1051:B1051"/>
    <mergeCell ref="A1052:B1053"/>
    <mergeCell ref="C1052:C1053"/>
    <mergeCell ref="D1052:D1053"/>
    <mergeCell ref="E1052:E1053"/>
    <mergeCell ref="F1052:F1053"/>
    <mergeCell ref="G1052:G1053"/>
    <mergeCell ref="A1045:B1045"/>
    <mergeCell ref="A1046:B1046"/>
    <mergeCell ref="A1047:B1047"/>
    <mergeCell ref="A1048:B1048"/>
    <mergeCell ref="F1048:F1049"/>
    <mergeCell ref="G1048:G1049"/>
    <mergeCell ref="A1039:B1039"/>
    <mergeCell ref="F1039:F1041"/>
    <mergeCell ref="G1039:G1044"/>
    <mergeCell ref="H1039:H1044"/>
    <mergeCell ref="A1040:B1040"/>
    <mergeCell ref="A1041:B1041"/>
    <mergeCell ref="A1042:B1042"/>
    <mergeCell ref="A1043:B1043"/>
    <mergeCell ref="F1043:F1044"/>
    <mergeCell ref="A1044:B1044"/>
    <mergeCell ref="A1035:B1035"/>
    <mergeCell ref="G1035:G1037"/>
    <mergeCell ref="H1035:H1037"/>
    <mergeCell ref="A1036:B1036"/>
    <mergeCell ref="A1037:B1037"/>
    <mergeCell ref="A1038:B1038"/>
    <mergeCell ref="H1031:H1032"/>
    <mergeCell ref="I1031:I1032"/>
    <mergeCell ref="J1031:J1032"/>
    <mergeCell ref="K1031:K1032"/>
    <mergeCell ref="A1033:B1033"/>
    <mergeCell ref="A1034:F1034"/>
    <mergeCell ref="A1024:K1024"/>
    <mergeCell ref="A1026:K1026"/>
    <mergeCell ref="A1029:K1029"/>
    <mergeCell ref="A1030:K1030"/>
    <mergeCell ref="A1031:B1032"/>
    <mergeCell ref="C1031:C1032"/>
    <mergeCell ref="D1031:D1032"/>
    <mergeCell ref="E1031:E1032"/>
    <mergeCell ref="F1031:F1032"/>
    <mergeCell ref="G1031:G1032"/>
    <mergeCell ref="G1017:G1018"/>
    <mergeCell ref="H1017:H1018"/>
    <mergeCell ref="A1018:B1018"/>
    <mergeCell ref="A1019:K1019"/>
    <mergeCell ref="A1022:K1022"/>
    <mergeCell ref="A1023:K1023"/>
    <mergeCell ref="A1013:B1013"/>
    <mergeCell ref="A1014:B1014"/>
    <mergeCell ref="A1015:B1015"/>
    <mergeCell ref="A1016:B1016"/>
    <mergeCell ref="A1017:B1017"/>
    <mergeCell ref="F1017:F1018"/>
    <mergeCell ref="A1007:B1007"/>
    <mergeCell ref="A1008:B1008"/>
    <mergeCell ref="F1008:F1010"/>
    <mergeCell ref="G1008:G1013"/>
    <mergeCell ref="H1008:H1013"/>
    <mergeCell ref="A1009:B1009"/>
    <mergeCell ref="A1010:B1010"/>
    <mergeCell ref="A1011:B1011"/>
    <mergeCell ref="A1012:B1012"/>
    <mergeCell ref="F1012:F1013"/>
    <mergeCell ref="I1001:I1002"/>
    <mergeCell ref="J1001:J1002"/>
    <mergeCell ref="K1001:K1002"/>
    <mergeCell ref="A1003:B1003"/>
    <mergeCell ref="A1004:F1004"/>
    <mergeCell ref="A1005:B1005"/>
    <mergeCell ref="G1005:G1006"/>
    <mergeCell ref="H1005:H1006"/>
    <mergeCell ref="A1006:B1006"/>
    <mergeCell ref="C1001:C1002"/>
    <mergeCell ref="D1001:D1002"/>
    <mergeCell ref="E1001:E1002"/>
    <mergeCell ref="F1001:F1002"/>
    <mergeCell ref="G1001:G1002"/>
    <mergeCell ref="H1001:H1002"/>
    <mergeCell ref="A996:B996"/>
    <mergeCell ref="A997:B997"/>
    <mergeCell ref="A998:B998"/>
    <mergeCell ref="A999:B999"/>
    <mergeCell ref="A1000:B1000"/>
    <mergeCell ref="A1001:B1002"/>
    <mergeCell ref="A991:B991"/>
    <mergeCell ref="G991:G995"/>
    <mergeCell ref="H991:H995"/>
    <mergeCell ref="A992:B992"/>
    <mergeCell ref="A993:B993"/>
    <mergeCell ref="A994:B994"/>
    <mergeCell ref="F994:F995"/>
    <mergeCell ref="A995:B995"/>
    <mergeCell ref="H987:H988"/>
    <mergeCell ref="I987:I988"/>
    <mergeCell ref="J987:J988"/>
    <mergeCell ref="K987:K988"/>
    <mergeCell ref="A989:B989"/>
    <mergeCell ref="A990:B990"/>
    <mergeCell ref="A980:K980"/>
    <mergeCell ref="A982:K982"/>
    <mergeCell ref="A985:K985"/>
    <mergeCell ref="A986:K986"/>
    <mergeCell ref="A987:B988"/>
    <mergeCell ref="C987:C988"/>
    <mergeCell ref="D987:D988"/>
    <mergeCell ref="E987:E988"/>
    <mergeCell ref="F987:F988"/>
    <mergeCell ref="G987:G988"/>
    <mergeCell ref="A972:B972"/>
    <mergeCell ref="A973:B973"/>
    <mergeCell ref="A974:B974"/>
    <mergeCell ref="A975:B975"/>
    <mergeCell ref="A978:K978"/>
    <mergeCell ref="A979:K979"/>
    <mergeCell ref="F967:F968"/>
    <mergeCell ref="A968:B968"/>
    <mergeCell ref="A969:B969"/>
    <mergeCell ref="F969:F971"/>
    <mergeCell ref="A970:B970"/>
    <mergeCell ref="A971:B971"/>
    <mergeCell ref="A961:B961"/>
    <mergeCell ref="A962:B962"/>
    <mergeCell ref="A963:B963"/>
    <mergeCell ref="F963:F966"/>
    <mergeCell ref="G963:G971"/>
    <mergeCell ref="H963:H971"/>
    <mergeCell ref="A964:B964"/>
    <mergeCell ref="A965:B965"/>
    <mergeCell ref="A966:B966"/>
    <mergeCell ref="A967:B967"/>
    <mergeCell ref="H957:H958"/>
    <mergeCell ref="I957:I958"/>
    <mergeCell ref="J957:J958"/>
    <mergeCell ref="K957:K958"/>
    <mergeCell ref="A959:B959"/>
    <mergeCell ref="A960:F960"/>
    <mergeCell ref="A953:B953"/>
    <mergeCell ref="A954:B954"/>
    <mergeCell ref="A955:K955"/>
    <mergeCell ref="A956:B956"/>
    <mergeCell ref="A957:B958"/>
    <mergeCell ref="C957:C958"/>
    <mergeCell ref="D957:D958"/>
    <mergeCell ref="E957:E958"/>
    <mergeCell ref="F957:F958"/>
    <mergeCell ref="G957:G958"/>
    <mergeCell ref="A949:B949"/>
    <mergeCell ref="A950:B950"/>
    <mergeCell ref="G950:G952"/>
    <mergeCell ref="H950:H952"/>
    <mergeCell ref="A951:B951"/>
    <mergeCell ref="A952:B952"/>
    <mergeCell ref="I944:I945"/>
    <mergeCell ref="J944:J945"/>
    <mergeCell ref="K944:K945"/>
    <mergeCell ref="A946:B946"/>
    <mergeCell ref="A947:F947"/>
    <mergeCell ref="A948:B948"/>
    <mergeCell ref="A939:K939"/>
    <mergeCell ref="A942:K942"/>
    <mergeCell ref="A943:K943"/>
    <mergeCell ref="A944:B945"/>
    <mergeCell ref="C944:C945"/>
    <mergeCell ref="D944:D945"/>
    <mergeCell ref="E944:E945"/>
    <mergeCell ref="F944:F945"/>
    <mergeCell ref="G944:G945"/>
    <mergeCell ref="H944:H945"/>
    <mergeCell ref="H921:H923"/>
    <mergeCell ref="A922:B922"/>
    <mergeCell ref="A923:B923"/>
    <mergeCell ref="A935:K935"/>
    <mergeCell ref="A936:K936"/>
    <mergeCell ref="A937:K937"/>
    <mergeCell ref="A918:B918"/>
    <mergeCell ref="A919:B919"/>
    <mergeCell ref="A920:B920"/>
    <mergeCell ref="A921:B921"/>
    <mergeCell ref="F921:F923"/>
    <mergeCell ref="G921:G923"/>
    <mergeCell ref="A912:B912"/>
    <mergeCell ref="A913:B913"/>
    <mergeCell ref="F913:F914"/>
    <mergeCell ref="G913:G917"/>
    <mergeCell ref="H913:H917"/>
    <mergeCell ref="A914:B914"/>
    <mergeCell ref="A915:B915"/>
    <mergeCell ref="F915:F916"/>
    <mergeCell ref="A916:B916"/>
    <mergeCell ref="A917:B917"/>
    <mergeCell ref="A906:B906"/>
    <mergeCell ref="G906:G911"/>
    <mergeCell ref="H906:H911"/>
    <mergeCell ref="A907:B907"/>
    <mergeCell ref="A908:B908"/>
    <mergeCell ref="A909:B909"/>
    <mergeCell ref="A910:B910"/>
    <mergeCell ref="A911:B911"/>
    <mergeCell ref="H902:H903"/>
    <mergeCell ref="I902:I903"/>
    <mergeCell ref="J902:J903"/>
    <mergeCell ref="K902:K903"/>
    <mergeCell ref="A904:B904"/>
    <mergeCell ref="A905:F905"/>
    <mergeCell ref="A895:K895"/>
    <mergeCell ref="A897:K897"/>
    <mergeCell ref="A900:K900"/>
    <mergeCell ref="A901:K901"/>
    <mergeCell ref="A902:B903"/>
    <mergeCell ref="C902:C903"/>
    <mergeCell ref="D902:D903"/>
    <mergeCell ref="E902:E903"/>
    <mergeCell ref="F902:F903"/>
    <mergeCell ref="G902:G903"/>
    <mergeCell ref="A885:B885"/>
    <mergeCell ref="A886:B886"/>
    <mergeCell ref="A887:B887"/>
    <mergeCell ref="A888:B888"/>
    <mergeCell ref="A893:K893"/>
    <mergeCell ref="A894:K894"/>
    <mergeCell ref="A879:B879"/>
    <mergeCell ref="A880:B880"/>
    <mergeCell ref="G880:G884"/>
    <mergeCell ref="H880:H884"/>
    <mergeCell ref="A881:B881"/>
    <mergeCell ref="A882:B882"/>
    <mergeCell ref="F882:F884"/>
    <mergeCell ref="A883:B883"/>
    <mergeCell ref="A884:B884"/>
    <mergeCell ref="I874:I875"/>
    <mergeCell ref="J874:J875"/>
    <mergeCell ref="K874:K875"/>
    <mergeCell ref="A876:B876"/>
    <mergeCell ref="A877:F877"/>
    <mergeCell ref="A878:B878"/>
    <mergeCell ref="H871:H872"/>
    <mergeCell ref="A872:B872"/>
    <mergeCell ref="A873:B873"/>
    <mergeCell ref="A874:B875"/>
    <mergeCell ref="C874:C875"/>
    <mergeCell ref="D874:D875"/>
    <mergeCell ref="E874:E875"/>
    <mergeCell ref="F874:F875"/>
    <mergeCell ref="G874:G875"/>
    <mergeCell ref="H874:H875"/>
    <mergeCell ref="A868:B868"/>
    <mergeCell ref="A869:B869"/>
    <mergeCell ref="A870:B870"/>
    <mergeCell ref="A871:B871"/>
    <mergeCell ref="F871:F872"/>
    <mergeCell ref="G871:G872"/>
    <mergeCell ref="A864:B864"/>
    <mergeCell ref="F864:F865"/>
    <mergeCell ref="A865:B865"/>
    <mergeCell ref="A866:B866"/>
    <mergeCell ref="F866:F867"/>
    <mergeCell ref="A867:B867"/>
    <mergeCell ref="I858:I859"/>
    <mergeCell ref="J858:J859"/>
    <mergeCell ref="K858:K859"/>
    <mergeCell ref="A860:B860"/>
    <mergeCell ref="A861:B861"/>
    <mergeCell ref="A862:B862"/>
    <mergeCell ref="F862:F863"/>
    <mergeCell ref="G862:G867"/>
    <mergeCell ref="H862:H867"/>
    <mergeCell ref="A863:B863"/>
    <mergeCell ref="A853:K853"/>
    <mergeCell ref="A856:K856"/>
    <mergeCell ref="A857:K857"/>
    <mergeCell ref="A858:B859"/>
    <mergeCell ref="C858:C859"/>
    <mergeCell ref="D858:D859"/>
    <mergeCell ref="E858:E859"/>
    <mergeCell ref="F858:F859"/>
    <mergeCell ref="G858:G859"/>
    <mergeCell ref="H858:H859"/>
    <mergeCell ref="H843:H844"/>
    <mergeCell ref="A844:B844"/>
    <mergeCell ref="A845:K845"/>
    <mergeCell ref="A849:K849"/>
    <mergeCell ref="A850:K850"/>
    <mergeCell ref="A851:K851"/>
    <mergeCell ref="A840:B840"/>
    <mergeCell ref="A841:B841"/>
    <mergeCell ref="A842:B842"/>
    <mergeCell ref="A843:B843"/>
    <mergeCell ref="F843:F844"/>
    <mergeCell ref="G843:G844"/>
    <mergeCell ref="A835:B835"/>
    <mergeCell ref="A836:B836"/>
    <mergeCell ref="G836:G839"/>
    <mergeCell ref="H836:H839"/>
    <mergeCell ref="A837:B837"/>
    <mergeCell ref="A838:B838"/>
    <mergeCell ref="F838:F839"/>
    <mergeCell ref="A839:B839"/>
    <mergeCell ref="G832:G833"/>
    <mergeCell ref="H832:H833"/>
    <mergeCell ref="I832:I833"/>
    <mergeCell ref="J832:J833"/>
    <mergeCell ref="K832:K833"/>
    <mergeCell ref="A834:B834"/>
    <mergeCell ref="A831:B831"/>
    <mergeCell ref="A832:B833"/>
    <mergeCell ref="C832:C833"/>
    <mergeCell ref="D832:D833"/>
    <mergeCell ref="E832:E833"/>
    <mergeCell ref="F832:F833"/>
    <mergeCell ref="A828:B828"/>
    <mergeCell ref="A829:B829"/>
    <mergeCell ref="F829:F830"/>
    <mergeCell ref="G829:G830"/>
    <mergeCell ref="H829:H830"/>
    <mergeCell ref="A830:B830"/>
    <mergeCell ref="A823:B823"/>
    <mergeCell ref="F823:F825"/>
    <mergeCell ref="A824:B824"/>
    <mergeCell ref="A825:B825"/>
    <mergeCell ref="A826:B826"/>
    <mergeCell ref="A827:B827"/>
    <mergeCell ref="J816:J817"/>
    <mergeCell ref="K816:K817"/>
    <mergeCell ref="A818:B818"/>
    <mergeCell ref="A819:B819"/>
    <mergeCell ref="A820:B820"/>
    <mergeCell ref="F820:F821"/>
    <mergeCell ref="G820:G825"/>
    <mergeCell ref="H820:H825"/>
    <mergeCell ref="A821:B821"/>
    <mergeCell ref="A822:B822"/>
    <mergeCell ref="A814:K814"/>
    <mergeCell ref="A815:K815"/>
    <mergeCell ref="A816:B817"/>
    <mergeCell ref="C816:C817"/>
    <mergeCell ref="D816:D817"/>
    <mergeCell ref="E816:E817"/>
    <mergeCell ref="F816:F817"/>
    <mergeCell ref="G816:G817"/>
    <mergeCell ref="H816:H817"/>
    <mergeCell ref="I816:I817"/>
    <mergeCell ref="A803:B803"/>
    <mergeCell ref="A804:B804"/>
    <mergeCell ref="A807:K807"/>
    <mergeCell ref="A808:K808"/>
    <mergeCell ref="A809:K809"/>
    <mergeCell ref="A811:K811"/>
    <mergeCell ref="J796:J797"/>
    <mergeCell ref="K796:K797"/>
    <mergeCell ref="A798:B798"/>
    <mergeCell ref="A799:B799"/>
    <mergeCell ref="A800:B800"/>
    <mergeCell ref="G800:G802"/>
    <mergeCell ref="H800:H802"/>
    <mergeCell ref="A801:B801"/>
    <mergeCell ref="A802:B802"/>
    <mergeCell ref="A794:K794"/>
    <mergeCell ref="A795:B795"/>
    <mergeCell ref="A796:B797"/>
    <mergeCell ref="C796:C797"/>
    <mergeCell ref="D796:D797"/>
    <mergeCell ref="E796:E797"/>
    <mergeCell ref="F796:F797"/>
    <mergeCell ref="G796:G797"/>
    <mergeCell ref="H796:H797"/>
    <mergeCell ref="I796:I797"/>
    <mergeCell ref="A789:B789"/>
    <mergeCell ref="A790:B790"/>
    <mergeCell ref="A791:B791"/>
    <mergeCell ref="F792:F793"/>
    <mergeCell ref="G792:G793"/>
    <mergeCell ref="H792:H793"/>
    <mergeCell ref="K779:K780"/>
    <mergeCell ref="A781:B781"/>
    <mergeCell ref="A782:B782"/>
    <mergeCell ref="G783:G788"/>
    <mergeCell ref="H783:H788"/>
    <mergeCell ref="F784:F785"/>
    <mergeCell ref="F787:F788"/>
    <mergeCell ref="A778:K778"/>
    <mergeCell ref="A779:B780"/>
    <mergeCell ref="C779:C780"/>
    <mergeCell ref="D779:D780"/>
    <mergeCell ref="E779:E780"/>
    <mergeCell ref="F779:F780"/>
    <mergeCell ref="G779:G780"/>
    <mergeCell ref="H779:H780"/>
    <mergeCell ref="I779:I780"/>
    <mergeCell ref="J779:J780"/>
    <mergeCell ref="A768:K768"/>
    <mergeCell ref="A770:K770"/>
    <mergeCell ref="A771:K771"/>
    <mergeCell ref="A772:K772"/>
    <mergeCell ref="A774:K774"/>
    <mergeCell ref="A777:K777"/>
    <mergeCell ref="A764:B764"/>
    <mergeCell ref="A765:B765"/>
    <mergeCell ref="F765:F767"/>
    <mergeCell ref="G765:G767"/>
    <mergeCell ref="H765:H767"/>
    <mergeCell ref="A766:B766"/>
    <mergeCell ref="A767:B767"/>
    <mergeCell ref="F758:F761"/>
    <mergeCell ref="A759:B759"/>
    <mergeCell ref="A760:B760"/>
    <mergeCell ref="A761:B761"/>
    <mergeCell ref="A762:B762"/>
    <mergeCell ref="A763:B763"/>
    <mergeCell ref="A753:B753"/>
    <mergeCell ref="F753:F754"/>
    <mergeCell ref="G753:G761"/>
    <mergeCell ref="H753:H761"/>
    <mergeCell ref="A754:B754"/>
    <mergeCell ref="A755:B755"/>
    <mergeCell ref="F755:F757"/>
    <mergeCell ref="A756:B756"/>
    <mergeCell ref="A757:B757"/>
    <mergeCell ref="A758:B758"/>
    <mergeCell ref="H749:H750"/>
    <mergeCell ref="I749:I750"/>
    <mergeCell ref="J749:J750"/>
    <mergeCell ref="K749:K750"/>
    <mergeCell ref="A751:B751"/>
    <mergeCell ref="A752:B752"/>
    <mergeCell ref="A742:K742"/>
    <mergeCell ref="A744:K744"/>
    <mergeCell ref="A747:K747"/>
    <mergeCell ref="A748:K748"/>
    <mergeCell ref="A749:B750"/>
    <mergeCell ref="C749:C750"/>
    <mergeCell ref="D749:D750"/>
    <mergeCell ref="E749:E750"/>
    <mergeCell ref="F749:F750"/>
    <mergeCell ref="G749:G750"/>
    <mergeCell ref="A735:B735"/>
    <mergeCell ref="A736:B736"/>
    <mergeCell ref="A737:B737"/>
    <mergeCell ref="A738:B738"/>
    <mergeCell ref="A740:K740"/>
    <mergeCell ref="A741:K741"/>
    <mergeCell ref="K727:K728"/>
    <mergeCell ref="A729:B729"/>
    <mergeCell ref="A730:B730"/>
    <mergeCell ref="A731:B731"/>
    <mergeCell ref="G731:G736"/>
    <mergeCell ref="H731:H736"/>
    <mergeCell ref="A732:B732"/>
    <mergeCell ref="A733:B733"/>
    <mergeCell ref="A734:B734"/>
    <mergeCell ref="F734:F736"/>
    <mergeCell ref="E727:E728"/>
    <mergeCell ref="F727:F728"/>
    <mergeCell ref="G727:G728"/>
    <mergeCell ref="H727:H728"/>
    <mergeCell ref="I727:I728"/>
    <mergeCell ref="J727:J728"/>
    <mergeCell ref="A724:B724"/>
    <mergeCell ref="A725:B725"/>
    <mergeCell ref="A726:B726"/>
    <mergeCell ref="A727:B728"/>
    <mergeCell ref="C727:C728"/>
    <mergeCell ref="D727:D728"/>
    <mergeCell ref="A720:B720"/>
    <mergeCell ref="A721:B721"/>
    <mergeCell ref="G721:G723"/>
    <mergeCell ref="H721:H723"/>
    <mergeCell ref="A722:B722"/>
    <mergeCell ref="A723:B723"/>
    <mergeCell ref="G717:G718"/>
    <mergeCell ref="H717:H718"/>
    <mergeCell ref="I717:I718"/>
    <mergeCell ref="J717:J718"/>
    <mergeCell ref="K717:K718"/>
    <mergeCell ref="A719:B719"/>
    <mergeCell ref="A716:B716"/>
    <mergeCell ref="A717:B718"/>
    <mergeCell ref="C717:C718"/>
    <mergeCell ref="D717:D718"/>
    <mergeCell ref="E717:E718"/>
    <mergeCell ref="F717:F718"/>
    <mergeCell ref="A713:B713"/>
    <mergeCell ref="A714:B714"/>
    <mergeCell ref="F714:F715"/>
    <mergeCell ref="G714:G715"/>
    <mergeCell ref="H714:H715"/>
    <mergeCell ref="A715:B715"/>
    <mergeCell ref="A709:B709"/>
    <mergeCell ref="G709:G712"/>
    <mergeCell ref="H709:H712"/>
    <mergeCell ref="A710:B710"/>
    <mergeCell ref="A711:B711"/>
    <mergeCell ref="F711:F712"/>
    <mergeCell ref="A712:B712"/>
    <mergeCell ref="H705:H706"/>
    <mergeCell ref="I705:I706"/>
    <mergeCell ref="J705:J706"/>
    <mergeCell ref="K705:K706"/>
    <mergeCell ref="A707:B707"/>
    <mergeCell ref="A708:B708"/>
    <mergeCell ref="A705:B706"/>
    <mergeCell ref="C705:C706"/>
    <mergeCell ref="D705:D706"/>
    <mergeCell ref="E705:E706"/>
    <mergeCell ref="F705:F706"/>
    <mergeCell ref="G705:G706"/>
    <mergeCell ref="A696:K696"/>
    <mergeCell ref="A697:K697"/>
    <mergeCell ref="A698:K698"/>
    <mergeCell ref="A700:K700"/>
    <mergeCell ref="A703:K703"/>
    <mergeCell ref="A704:K704"/>
    <mergeCell ref="I688:I689"/>
    <mergeCell ref="J688:J689"/>
    <mergeCell ref="K688:K689"/>
    <mergeCell ref="A690:B690"/>
    <mergeCell ref="A691:B691"/>
    <mergeCell ref="A692:B692"/>
    <mergeCell ref="G692:G693"/>
    <mergeCell ref="H692:H693"/>
    <mergeCell ref="A693:B693"/>
    <mergeCell ref="C688:C689"/>
    <mergeCell ref="D688:D689"/>
    <mergeCell ref="E688:E689"/>
    <mergeCell ref="F688:F689"/>
    <mergeCell ref="G688:G689"/>
    <mergeCell ref="H688:H689"/>
    <mergeCell ref="A683:B683"/>
    <mergeCell ref="A684:B684"/>
    <mergeCell ref="A685:B685"/>
    <mergeCell ref="A686:B686"/>
    <mergeCell ref="A687:B687"/>
    <mergeCell ref="A688:B689"/>
    <mergeCell ref="A677:B677"/>
    <mergeCell ref="A678:B678"/>
    <mergeCell ref="G678:G682"/>
    <mergeCell ref="H678:H682"/>
    <mergeCell ref="A679:B679"/>
    <mergeCell ref="A680:B680"/>
    <mergeCell ref="F680:F682"/>
    <mergeCell ref="A681:B681"/>
    <mergeCell ref="A682:B682"/>
    <mergeCell ref="G674:G675"/>
    <mergeCell ref="H674:H675"/>
    <mergeCell ref="I674:I675"/>
    <mergeCell ref="J674:J675"/>
    <mergeCell ref="K674:K675"/>
    <mergeCell ref="A676:B676"/>
    <mergeCell ref="A673:B673"/>
    <mergeCell ref="A674:B675"/>
    <mergeCell ref="C674:C675"/>
    <mergeCell ref="D674:D675"/>
    <mergeCell ref="E674:E675"/>
    <mergeCell ref="F674:F675"/>
    <mergeCell ref="F667:F668"/>
    <mergeCell ref="A668:B668"/>
    <mergeCell ref="A669:B669"/>
    <mergeCell ref="A670:B670"/>
    <mergeCell ref="A671:B671"/>
    <mergeCell ref="A672:B672"/>
    <mergeCell ref="I661:I662"/>
    <mergeCell ref="J661:J662"/>
    <mergeCell ref="K661:K662"/>
    <mergeCell ref="A663:B663"/>
    <mergeCell ref="A664:B664"/>
    <mergeCell ref="A665:B665"/>
    <mergeCell ref="G665:G668"/>
    <mergeCell ref="H665:H668"/>
    <mergeCell ref="A666:B666"/>
    <mergeCell ref="A667:B667"/>
    <mergeCell ref="A656:K656"/>
    <mergeCell ref="A659:K659"/>
    <mergeCell ref="A660:K660"/>
    <mergeCell ref="A661:B662"/>
    <mergeCell ref="C661:C662"/>
    <mergeCell ref="D661:D662"/>
    <mergeCell ref="E661:E662"/>
    <mergeCell ref="F661:F662"/>
    <mergeCell ref="G661:G662"/>
    <mergeCell ref="H661:H662"/>
    <mergeCell ref="H635:H636"/>
    <mergeCell ref="A636:B636"/>
    <mergeCell ref="A638:K638"/>
    <mergeCell ref="A652:K652"/>
    <mergeCell ref="A653:K653"/>
    <mergeCell ref="A654:K654"/>
    <mergeCell ref="A632:B632"/>
    <mergeCell ref="A633:B633"/>
    <mergeCell ref="A634:B634"/>
    <mergeCell ref="A635:B635"/>
    <mergeCell ref="F635:F636"/>
    <mergeCell ref="G635:G636"/>
    <mergeCell ref="A637:I637"/>
    <mergeCell ref="A626:B626"/>
    <mergeCell ref="G626:G631"/>
    <mergeCell ref="H626:H631"/>
    <mergeCell ref="A627:B627"/>
    <mergeCell ref="A628:B628"/>
    <mergeCell ref="F628:F631"/>
    <mergeCell ref="A629:B629"/>
    <mergeCell ref="A630:B630"/>
    <mergeCell ref="A631:B631"/>
    <mergeCell ref="H622:H623"/>
    <mergeCell ref="I622:I623"/>
    <mergeCell ref="J622:J623"/>
    <mergeCell ref="K622:K623"/>
    <mergeCell ref="A624:B624"/>
    <mergeCell ref="A625:B625"/>
    <mergeCell ref="A622:B623"/>
    <mergeCell ref="C622:C623"/>
    <mergeCell ref="D622:D623"/>
    <mergeCell ref="E622:E623"/>
    <mergeCell ref="F622:F623"/>
    <mergeCell ref="G622:G623"/>
    <mergeCell ref="A610:B610"/>
    <mergeCell ref="A611:B611"/>
    <mergeCell ref="A604:B604"/>
    <mergeCell ref="F604:F607"/>
    <mergeCell ref="G604:G608"/>
    <mergeCell ref="H604:H608"/>
    <mergeCell ref="A605:B605"/>
    <mergeCell ref="A606:B606"/>
    <mergeCell ref="A607:B607"/>
    <mergeCell ref="A608:B608"/>
    <mergeCell ref="A599:B599"/>
    <mergeCell ref="F599:F603"/>
    <mergeCell ref="G599:G603"/>
    <mergeCell ref="H599:H603"/>
    <mergeCell ref="A600:B600"/>
    <mergeCell ref="A601:B601"/>
    <mergeCell ref="A602:B602"/>
    <mergeCell ref="A603:B603"/>
    <mergeCell ref="H594:H595"/>
    <mergeCell ref="A595:B595"/>
    <mergeCell ref="A596:B596"/>
    <mergeCell ref="A597:B597"/>
    <mergeCell ref="F597:F598"/>
    <mergeCell ref="G597:G598"/>
    <mergeCell ref="H597:H598"/>
    <mergeCell ref="A598:B598"/>
    <mergeCell ref="A591:B591"/>
    <mergeCell ref="A592:B592"/>
    <mergeCell ref="A593:B593"/>
    <mergeCell ref="A594:B594"/>
    <mergeCell ref="F594:F595"/>
    <mergeCell ref="G594:G595"/>
    <mergeCell ref="A585:B585"/>
    <mergeCell ref="A586:B586"/>
    <mergeCell ref="F586:F588"/>
    <mergeCell ref="G586:G590"/>
    <mergeCell ref="H586:H590"/>
    <mergeCell ref="A587:B587"/>
    <mergeCell ref="A588:B588"/>
    <mergeCell ref="A589:B589"/>
    <mergeCell ref="F589:F590"/>
    <mergeCell ref="A590:B590"/>
    <mergeCell ref="G582:G583"/>
    <mergeCell ref="H582:H583"/>
    <mergeCell ref="I582:I583"/>
    <mergeCell ref="J582:J583"/>
    <mergeCell ref="K582:K583"/>
    <mergeCell ref="A584:B584"/>
    <mergeCell ref="A542:K542"/>
    <mergeCell ref="A543:K543"/>
    <mergeCell ref="A545:K545"/>
    <mergeCell ref="A548:K548"/>
    <mergeCell ref="A549:K549"/>
    <mergeCell ref="A582:B583"/>
    <mergeCell ref="C582:C583"/>
    <mergeCell ref="D582:D583"/>
    <mergeCell ref="E582:E583"/>
    <mergeCell ref="F582:F583"/>
    <mergeCell ref="F570:F571"/>
    <mergeCell ref="G570:G571"/>
    <mergeCell ref="H570:H571"/>
    <mergeCell ref="A571:B571"/>
    <mergeCell ref="A565:B565"/>
    <mergeCell ref="A566:B566"/>
    <mergeCell ref="A567:B567"/>
    <mergeCell ref="A568:B568"/>
    <mergeCell ref="A569:B569"/>
    <mergeCell ref="A570:B570"/>
    <mergeCell ref="A558:B558"/>
    <mergeCell ref="A559:B559"/>
    <mergeCell ref="G559:G566"/>
    <mergeCell ref="H559:H566"/>
    <mergeCell ref="A560:B560"/>
    <mergeCell ref="A561:B561"/>
    <mergeCell ref="F561:F566"/>
    <mergeCell ref="A562:B562"/>
    <mergeCell ref="A563:B563"/>
    <mergeCell ref="A564:B564"/>
    <mergeCell ref="A554:B554"/>
    <mergeCell ref="F554:F557"/>
    <mergeCell ref="G554:G557"/>
    <mergeCell ref="H554:H557"/>
    <mergeCell ref="A555:B555"/>
    <mergeCell ref="A556:B556"/>
    <mergeCell ref="A557:B557"/>
    <mergeCell ref="H550:H551"/>
    <mergeCell ref="I550:I551"/>
    <mergeCell ref="J550:J551"/>
    <mergeCell ref="K550:K551"/>
    <mergeCell ref="A552:B552"/>
    <mergeCell ref="A553:F553"/>
    <mergeCell ref="A550:B551"/>
    <mergeCell ref="C550:C551"/>
    <mergeCell ref="D550:D551"/>
    <mergeCell ref="E550:E551"/>
    <mergeCell ref="F550:F551"/>
    <mergeCell ref="G550:G551"/>
    <mergeCell ref="A536:B536"/>
    <mergeCell ref="A537:B537"/>
    <mergeCell ref="F537:F539"/>
    <mergeCell ref="G537:G539"/>
    <mergeCell ref="H537:H539"/>
    <mergeCell ref="A538:B538"/>
    <mergeCell ref="A539:B539"/>
    <mergeCell ref="A540:K540"/>
    <mergeCell ref="A541:K541"/>
    <mergeCell ref="A530:B530"/>
    <mergeCell ref="A531:B531"/>
    <mergeCell ref="A532:B532"/>
    <mergeCell ref="F532:F534"/>
    <mergeCell ref="G532:G535"/>
    <mergeCell ref="H532:H535"/>
    <mergeCell ref="A533:B533"/>
    <mergeCell ref="A534:B534"/>
    <mergeCell ref="A535:B535"/>
    <mergeCell ref="F528:F529"/>
    <mergeCell ref="G528:G529"/>
    <mergeCell ref="H528:H529"/>
    <mergeCell ref="I528:I529"/>
    <mergeCell ref="J528:J529"/>
    <mergeCell ref="K528:K529"/>
    <mergeCell ref="A526:B526"/>
    <mergeCell ref="A527:B527"/>
    <mergeCell ref="A528:B529"/>
    <mergeCell ref="C528:C529"/>
    <mergeCell ref="D528:D529"/>
    <mergeCell ref="E528:E529"/>
    <mergeCell ref="A522:B522"/>
    <mergeCell ref="G522:G524"/>
    <mergeCell ref="H522:H524"/>
    <mergeCell ref="A523:B523"/>
    <mergeCell ref="A524:B524"/>
    <mergeCell ref="A525:B525"/>
    <mergeCell ref="H518:H519"/>
    <mergeCell ref="I518:I519"/>
    <mergeCell ref="J518:J519"/>
    <mergeCell ref="K518:K519"/>
    <mergeCell ref="A520:B520"/>
    <mergeCell ref="A521:B521"/>
    <mergeCell ref="A518:B519"/>
    <mergeCell ref="C518:C519"/>
    <mergeCell ref="D518:D519"/>
    <mergeCell ref="E518:E519"/>
    <mergeCell ref="F518:F519"/>
    <mergeCell ref="G518:G519"/>
    <mergeCell ref="I485:I486"/>
    <mergeCell ref="J485:J486"/>
    <mergeCell ref="K485:K486"/>
    <mergeCell ref="A487:B487"/>
    <mergeCell ref="A488:F488"/>
    <mergeCell ref="A485:B486"/>
    <mergeCell ref="C485:C486"/>
    <mergeCell ref="D485:D486"/>
    <mergeCell ref="E485:E486"/>
    <mergeCell ref="F485:F486"/>
    <mergeCell ref="G485:G486"/>
    <mergeCell ref="A509:K509"/>
    <mergeCell ref="A510:K510"/>
    <mergeCell ref="A511:K511"/>
    <mergeCell ref="A513:K513"/>
    <mergeCell ref="A516:K516"/>
    <mergeCell ref="A517:K517"/>
    <mergeCell ref="A502:B502"/>
    <mergeCell ref="A503:B503"/>
    <mergeCell ref="A504:B504"/>
    <mergeCell ref="F504:F507"/>
    <mergeCell ref="G504:G507"/>
    <mergeCell ref="H504:H507"/>
    <mergeCell ref="A505:B505"/>
    <mergeCell ref="A506:B506"/>
    <mergeCell ref="A507:B507"/>
    <mergeCell ref="A496:B496"/>
    <mergeCell ref="A497:B497"/>
    <mergeCell ref="A498:B498"/>
    <mergeCell ref="A499:B499"/>
    <mergeCell ref="A500:B500"/>
    <mergeCell ref="A501:B501"/>
    <mergeCell ref="A470:B470"/>
    <mergeCell ref="A471:B471"/>
    <mergeCell ref="G471:G474"/>
    <mergeCell ref="H471:H474"/>
    <mergeCell ref="A472:B472"/>
    <mergeCell ref="F472:F474"/>
    <mergeCell ref="A473:B473"/>
    <mergeCell ref="A474:B474"/>
    <mergeCell ref="I465:I466"/>
    <mergeCell ref="J465:J466"/>
    <mergeCell ref="K465:K466"/>
    <mergeCell ref="A467:B467"/>
    <mergeCell ref="A468:B468"/>
    <mergeCell ref="A469:B469"/>
    <mergeCell ref="C465:C466"/>
    <mergeCell ref="D465:D466"/>
    <mergeCell ref="E465:E466"/>
    <mergeCell ref="F465:F466"/>
    <mergeCell ref="G465:G466"/>
    <mergeCell ref="H465:H466"/>
    <mergeCell ref="A460:B460"/>
    <mergeCell ref="A461:B461"/>
    <mergeCell ref="A462:B462"/>
    <mergeCell ref="A463:B463"/>
    <mergeCell ref="A465:B466"/>
    <mergeCell ref="A455:B455"/>
    <mergeCell ref="G455:G459"/>
    <mergeCell ref="H455:H459"/>
    <mergeCell ref="A456:B456"/>
    <mergeCell ref="A457:B457"/>
    <mergeCell ref="A458:B458"/>
    <mergeCell ref="F458:F459"/>
    <mergeCell ref="A459:B459"/>
    <mergeCell ref="H451:H452"/>
    <mergeCell ref="I451:I452"/>
    <mergeCell ref="J451:J452"/>
    <mergeCell ref="A429:B429"/>
    <mergeCell ref="A430:B430"/>
    <mergeCell ref="A431:B431"/>
    <mergeCell ref="A432:B432"/>
    <mergeCell ref="A433:B433"/>
    <mergeCell ref="A434:B434"/>
    <mergeCell ref="G424:G433"/>
    <mergeCell ref="H424:H433"/>
    <mergeCell ref="A425:B425"/>
    <mergeCell ref="A426:B426"/>
    <mergeCell ref="F426:F433"/>
    <mergeCell ref="A427:B427"/>
    <mergeCell ref="A421:F421"/>
    <mergeCell ref="A444:K444"/>
    <mergeCell ref="A446:K446"/>
    <mergeCell ref="A449:K449"/>
    <mergeCell ref="A450:K450"/>
    <mergeCell ref="A418:B419"/>
    <mergeCell ref="C418:C419"/>
    <mergeCell ref="D418:D419"/>
    <mergeCell ref="E418:E419"/>
    <mergeCell ref="F418:F419"/>
    <mergeCell ref="G418:G419"/>
    <mergeCell ref="K451:K452"/>
    <mergeCell ref="A453:B453"/>
    <mergeCell ref="A454:B454"/>
    <mergeCell ref="A451:B452"/>
    <mergeCell ref="C451:C452"/>
    <mergeCell ref="D451:D452"/>
    <mergeCell ref="E451:E452"/>
    <mergeCell ref="F451:F452"/>
    <mergeCell ref="G451:G452"/>
    <mergeCell ref="A435:B435"/>
    <mergeCell ref="A436:B436"/>
    <mergeCell ref="A437:B437"/>
    <mergeCell ref="F437:F440"/>
    <mergeCell ref="G437:G440"/>
    <mergeCell ref="H437:H440"/>
    <mergeCell ref="A438:B438"/>
    <mergeCell ref="A439:B439"/>
    <mergeCell ref="A440:B440"/>
    <mergeCell ref="A422:B422"/>
    <mergeCell ref="A423:B423"/>
    <mergeCell ref="A424:B424"/>
    <mergeCell ref="A404:B404"/>
    <mergeCell ref="A405:B405"/>
    <mergeCell ref="A406:B406"/>
    <mergeCell ref="A407:B407"/>
    <mergeCell ref="A442:K442"/>
    <mergeCell ref="A443:K443"/>
    <mergeCell ref="A441:I441"/>
    <mergeCell ref="A400:B400"/>
    <mergeCell ref="A401:B401"/>
    <mergeCell ref="G401:G403"/>
    <mergeCell ref="H401:H403"/>
    <mergeCell ref="A402:B402"/>
    <mergeCell ref="A403:B403"/>
    <mergeCell ref="I395:I396"/>
    <mergeCell ref="J395:J396"/>
    <mergeCell ref="K395:K396"/>
    <mergeCell ref="A397:B397"/>
    <mergeCell ref="A398:F398"/>
    <mergeCell ref="A399:B399"/>
    <mergeCell ref="A408:I408"/>
    <mergeCell ref="A409:K409"/>
    <mergeCell ref="A410:K410"/>
    <mergeCell ref="A411:K411"/>
    <mergeCell ref="A413:K413"/>
    <mergeCell ref="A416:K416"/>
    <mergeCell ref="A417:K417"/>
    <mergeCell ref="A428:B428"/>
    <mergeCell ref="H418:H419"/>
    <mergeCell ref="I418:I419"/>
    <mergeCell ref="J418:J419"/>
    <mergeCell ref="K418:K419"/>
    <mergeCell ref="A420:B420"/>
    <mergeCell ref="H392:H393"/>
    <mergeCell ref="A393:B393"/>
    <mergeCell ref="A394:B394"/>
    <mergeCell ref="A395:B396"/>
    <mergeCell ref="C395:C396"/>
    <mergeCell ref="D395:D396"/>
    <mergeCell ref="E395:E396"/>
    <mergeCell ref="F395:F396"/>
    <mergeCell ref="G395:G396"/>
    <mergeCell ref="H395:H396"/>
    <mergeCell ref="A389:B389"/>
    <mergeCell ref="A390:B390"/>
    <mergeCell ref="A391:B391"/>
    <mergeCell ref="A392:B392"/>
    <mergeCell ref="F392:F393"/>
    <mergeCell ref="G392:G393"/>
    <mergeCell ref="A384:B384"/>
    <mergeCell ref="G384:G388"/>
    <mergeCell ref="H384:H388"/>
    <mergeCell ref="A385:B385"/>
    <mergeCell ref="A386:B386"/>
    <mergeCell ref="F386:F388"/>
    <mergeCell ref="A387:B387"/>
    <mergeCell ref="A388:B388"/>
    <mergeCell ref="H380:H381"/>
    <mergeCell ref="I380:I381"/>
    <mergeCell ref="J380:J381"/>
    <mergeCell ref="K380:K381"/>
    <mergeCell ref="A382:B382"/>
    <mergeCell ref="A383:B383"/>
    <mergeCell ref="A373:K373"/>
    <mergeCell ref="A375:K375"/>
    <mergeCell ref="A378:K378"/>
    <mergeCell ref="A379:K379"/>
    <mergeCell ref="A380:B381"/>
    <mergeCell ref="C380:C381"/>
    <mergeCell ref="D380:D381"/>
    <mergeCell ref="E380:E381"/>
    <mergeCell ref="F380:F381"/>
    <mergeCell ref="G380:G381"/>
    <mergeCell ref="A365:B365"/>
    <mergeCell ref="A366:B366"/>
    <mergeCell ref="A367:B367"/>
    <mergeCell ref="A368:B368"/>
    <mergeCell ref="A371:K371"/>
    <mergeCell ref="A372:K372"/>
    <mergeCell ref="A369:I369"/>
    <mergeCell ref="F357:F360"/>
    <mergeCell ref="A358:B358"/>
    <mergeCell ref="A359:B359"/>
    <mergeCell ref="A360:B360"/>
    <mergeCell ref="A361:B361"/>
    <mergeCell ref="F361:F364"/>
    <mergeCell ref="A362:B362"/>
    <mergeCell ref="A363:B363"/>
    <mergeCell ref="A364:B364"/>
    <mergeCell ref="K349:K350"/>
    <mergeCell ref="A351:B351"/>
    <mergeCell ref="A352:F352"/>
    <mergeCell ref="A353:B353"/>
    <mergeCell ref="A354:B354"/>
    <mergeCell ref="A355:B355"/>
    <mergeCell ref="G355:G364"/>
    <mergeCell ref="H355:H364"/>
    <mergeCell ref="A356:B356"/>
    <mergeCell ref="A357:B357"/>
    <mergeCell ref="E349:E350"/>
    <mergeCell ref="F349:F350"/>
    <mergeCell ref="G349:G350"/>
    <mergeCell ref="H349:H350"/>
    <mergeCell ref="I349:I350"/>
    <mergeCell ref="J349:J350"/>
    <mergeCell ref="A336:B336"/>
    <mergeCell ref="A337:B337"/>
    <mergeCell ref="A328:B328"/>
    <mergeCell ref="A349:B350"/>
    <mergeCell ref="C349:C350"/>
    <mergeCell ref="D349:D350"/>
    <mergeCell ref="I329:I330"/>
    <mergeCell ref="J329:J330"/>
    <mergeCell ref="K329:K330"/>
    <mergeCell ref="A331:B331"/>
    <mergeCell ref="A332:B332"/>
    <mergeCell ref="A333:B333"/>
    <mergeCell ref="G333:G335"/>
    <mergeCell ref="H333:H335"/>
    <mergeCell ref="A334:B334"/>
    <mergeCell ref="A335:B335"/>
    <mergeCell ref="A329:B330"/>
    <mergeCell ref="C329:C330"/>
    <mergeCell ref="D329:D330"/>
    <mergeCell ref="E329:E330"/>
    <mergeCell ref="F329:F330"/>
    <mergeCell ref="G329:G330"/>
    <mergeCell ref="H329:H330"/>
    <mergeCell ref="A338:I338"/>
    <mergeCell ref="A340:K340"/>
    <mergeCell ref="A341:K341"/>
    <mergeCell ref="A342:K342"/>
    <mergeCell ref="A344:K344"/>
    <mergeCell ref="A347:K347"/>
    <mergeCell ref="A348:K348"/>
    <mergeCell ref="A325:B325"/>
    <mergeCell ref="A326:B326"/>
    <mergeCell ref="A327:B327"/>
    <mergeCell ref="A319:B319"/>
    <mergeCell ref="A320:B320"/>
    <mergeCell ref="A321:B321"/>
    <mergeCell ref="F321:F322"/>
    <mergeCell ref="G321:G325"/>
    <mergeCell ref="H321:H325"/>
    <mergeCell ref="A322:B322"/>
    <mergeCell ref="A323:B323"/>
    <mergeCell ref="A324:B324"/>
    <mergeCell ref="F324:F325"/>
    <mergeCell ref="H315:H316"/>
    <mergeCell ref="I315:I316"/>
    <mergeCell ref="J315:J316"/>
    <mergeCell ref="K315:K316"/>
    <mergeCell ref="A317:B317"/>
    <mergeCell ref="A318:F318"/>
    <mergeCell ref="A303:B303"/>
    <mergeCell ref="A304:I304"/>
    <mergeCell ref="A305:I305"/>
    <mergeCell ref="A315:B316"/>
    <mergeCell ref="C315:C316"/>
    <mergeCell ref="D315:D316"/>
    <mergeCell ref="E315:E316"/>
    <mergeCell ref="F315:F316"/>
    <mergeCell ref="G315:G316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F294:F295"/>
    <mergeCell ref="A295:B295"/>
    <mergeCell ref="A285:B285"/>
    <mergeCell ref="G285:G295"/>
    <mergeCell ref="H285:H295"/>
    <mergeCell ref="A286:B286"/>
    <mergeCell ref="F286:F288"/>
    <mergeCell ref="A287:B287"/>
    <mergeCell ref="A288:B288"/>
    <mergeCell ref="A289:B289"/>
    <mergeCell ref="A290:B290"/>
    <mergeCell ref="F290:F293"/>
    <mergeCell ref="H281:H282"/>
    <mergeCell ref="I281:I282"/>
    <mergeCell ref="J281:J282"/>
    <mergeCell ref="K281:K282"/>
    <mergeCell ref="A283:B283"/>
    <mergeCell ref="A284:B284"/>
    <mergeCell ref="A281:B282"/>
    <mergeCell ref="C281:C282"/>
    <mergeCell ref="D281:D282"/>
    <mergeCell ref="E281:E282"/>
    <mergeCell ref="F281:F282"/>
    <mergeCell ref="G281:G282"/>
    <mergeCell ref="A274:B274"/>
    <mergeCell ref="A275:B275"/>
    <mergeCell ref="A276:B276"/>
    <mergeCell ref="A277:B277"/>
    <mergeCell ref="A278:B278"/>
    <mergeCell ref="A279:B279"/>
    <mergeCell ref="A267:F267"/>
    <mergeCell ref="A268:B268"/>
    <mergeCell ref="A269:B269"/>
    <mergeCell ref="A270:B270"/>
    <mergeCell ref="G270:G277"/>
    <mergeCell ref="H270:H277"/>
    <mergeCell ref="A271:B271"/>
    <mergeCell ref="A272:B272"/>
    <mergeCell ref="A273:B273"/>
    <mergeCell ref="F273:F277"/>
    <mergeCell ref="G264:G265"/>
    <mergeCell ref="H264:H265"/>
    <mergeCell ref="I264:I265"/>
    <mergeCell ref="J264:J265"/>
    <mergeCell ref="K264:K265"/>
    <mergeCell ref="A266:B266"/>
    <mergeCell ref="A256:K256"/>
    <mergeCell ref="A257:K257"/>
    <mergeCell ref="A259:K259"/>
    <mergeCell ref="A262:K262"/>
    <mergeCell ref="A263:K263"/>
    <mergeCell ref="A264:B265"/>
    <mergeCell ref="C264:C265"/>
    <mergeCell ref="D264:D265"/>
    <mergeCell ref="E264:E265"/>
    <mergeCell ref="F264:F265"/>
    <mergeCell ref="A250:B250"/>
    <mergeCell ref="F250:F251"/>
    <mergeCell ref="G250:G251"/>
    <mergeCell ref="H250:H251"/>
    <mergeCell ref="A251:B251"/>
    <mergeCell ref="A255:K255"/>
    <mergeCell ref="A244:B244"/>
    <mergeCell ref="A245:B245"/>
    <mergeCell ref="A246:B246"/>
    <mergeCell ref="A247:B247"/>
    <mergeCell ref="A248:B248"/>
    <mergeCell ref="A249:B249"/>
    <mergeCell ref="A236:B236"/>
    <mergeCell ref="A237:B237"/>
    <mergeCell ref="F237:F239"/>
    <mergeCell ref="A238:B238"/>
    <mergeCell ref="A239:B239"/>
    <mergeCell ref="A240:B240"/>
    <mergeCell ref="F240:F242"/>
    <mergeCell ref="A241:B241"/>
    <mergeCell ref="A242:B242"/>
    <mergeCell ref="A229:B229"/>
    <mergeCell ref="A230:B230"/>
    <mergeCell ref="G230:G242"/>
    <mergeCell ref="H230:H242"/>
    <mergeCell ref="A231:B231"/>
    <mergeCell ref="F231:F235"/>
    <mergeCell ref="A232:B232"/>
    <mergeCell ref="A233:B233"/>
    <mergeCell ref="A234:B234"/>
    <mergeCell ref="A235:B235"/>
    <mergeCell ref="G226:G227"/>
    <mergeCell ref="H226:H227"/>
    <mergeCell ref="I226:I227"/>
    <mergeCell ref="J226:J227"/>
    <mergeCell ref="K226:K227"/>
    <mergeCell ref="A228:B228"/>
    <mergeCell ref="A225:B225"/>
    <mergeCell ref="A226:B227"/>
    <mergeCell ref="C226:C227"/>
    <mergeCell ref="D226:D227"/>
    <mergeCell ref="E226:E227"/>
    <mergeCell ref="F226:F227"/>
    <mergeCell ref="A218:B218"/>
    <mergeCell ref="A219:B219"/>
    <mergeCell ref="A220:B220"/>
    <mergeCell ref="A221:B221"/>
    <mergeCell ref="A222:H222"/>
    <mergeCell ref="A223:H223"/>
    <mergeCell ref="A213:B213"/>
    <mergeCell ref="A214:B214"/>
    <mergeCell ref="G214:G216"/>
    <mergeCell ref="H214:H216"/>
    <mergeCell ref="A215:B215"/>
    <mergeCell ref="A216:B216"/>
    <mergeCell ref="I208:I209"/>
    <mergeCell ref="J208:J209"/>
    <mergeCell ref="K208:K209"/>
    <mergeCell ref="A210:B210"/>
    <mergeCell ref="A211:B211"/>
    <mergeCell ref="A212:B212"/>
    <mergeCell ref="A203:K203"/>
    <mergeCell ref="A206:K206"/>
    <mergeCell ref="A207:K207"/>
    <mergeCell ref="A208:B209"/>
    <mergeCell ref="C208:C209"/>
    <mergeCell ref="D208:D209"/>
    <mergeCell ref="E208:E209"/>
    <mergeCell ref="F208:F209"/>
    <mergeCell ref="G208:G209"/>
    <mergeCell ref="H208:H209"/>
    <mergeCell ref="B192:F192"/>
    <mergeCell ref="B193:F193"/>
    <mergeCell ref="B194:F194"/>
    <mergeCell ref="A199:K199"/>
    <mergeCell ref="A200:K200"/>
    <mergeCell ref="A201:K201"/>
    <mergeCell ref="B186:F186"/>
    <mergeCell ref="B187:F187"/>
    <mergeCell ref="B188:F188"/>
    <mergeCell ref="B189:F189"/>
    <mergeCell ref="B190:F190"/>
    <mergeCell ref="B191:F191"/>
    <mergeCell ref="B180:F180"/>
    <mergeCell ref="B181:F181"/>
    <mergeCell ref="B182:F182"/>
    <mergeCell ref="B183:F183"/>
    <mergeCell ref="B184:F184"/>
    <mergeCell ref="B185:F185"/>
    <mergeCell ref="B174:F174"/>
    <mergeCell ref="B175:F175"/>
    <mergeCell ref="B176:F176"/>
    <mergeCell ref="B177:F177"/>
    <mergeCell ref="B178:F178"/>
    <mergeCell ref="B179:F179"/>
    <mergeCell ref="B168:F168"/>
    <mergeCell ref="B169:F169"/>
    <mergeCell ref="B170:F170"/>
    <mergeCell ref="B171:F171"/>
    <mergeCell ref="B172:F172"/>
    <mergeCell ref="B173:F173"/>
    <mergeCell ref="B161:F161"/>
    <mergeCell ref="B162:F162"/>
    <mergeCell ref="B163:F163"/>
    <mergeCell ref="B164:F164"/>
    <mergeCell ref="B166:F166"/>
    <mergeCell ref="B167:F167"/>
    <mergeCell ref="B155:F155"/>
    <mergeCell ref="B156:F156"/>
    <mergeCell ref="B157:F157"/>
    <mergeCell ref="B158:F158"/>
    <mergeCell ref="B159:F159"/>
    <mergeCell ref="B160:F160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A133:K133"/>
    <mergeCell ref="A134:K134"/>
    <mergeCell ref="A135:A136"/>
    <mergeCell ref="B135:B136"/>
    <mergeCell ref="G135:G136"/>
    <mergeCell ref="H135:H136"/>
    <mergeCell ref="I135:I136"/>
    <mergeCell ref="J135:J136"/>
    <mergeCell ref="K135:K136"/>
    <mergeCell ref="B122:F122"/>
    <mergeCell ref="B123:F123"/>
    <mergeCell ref="A126:K126"/>
    <mergeCell ref="A127:K127"/>
    <mergeCell ref="A128:K128"/>
    <mergeCell ref="A130:K130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80:F80"/>
    <mergeCell ref="B81:F81"/>
    <mergeCell ref="B82:F82"/>
    <mergeCell ref="B83:F83"/>
    <mergeCell ref="B84:F84"/>
    <mergeCell ref="B85:F85"/>
    <mergeCell ref="B74:F74"/>
    <mergeCell ref="B75:F75"/>
    <mergeCell ref="B76:F76"/>
    <mergeCell ref="B77:F77"/>
    <mergeCell ref="B78:F78"/>
    <mergeCell ref="B79:F79"/>
    <mergeCell ref="A70:K70"/>
    <mergeCell ref="A71:K71"/>
    <mergeCell ref="A72:A73"/>
    <mergeCell ref="B72:B73"/>
    <mergeCell ref="G72:G73"/>
    <mergeCell ref="H72:H73"/>
    <mergeCell ref="I72:I73"/>
    <mergeCell ref="J72:J73"/>
    <mergeCell ref="K72:K73"/>
    <mergeCell ref="B60:F60"/>
    <mergeCell ref="B61:F61"/>
    <mergeCell ref="A63:K63"/>
    <mergeCell ref="A64:K64"/>
    <mergeCell ref="A65:K65"/>
    <mergeCell ref="A67:K67"/>
    <mergeCell ref="B54:F54"/>
    <mergeCell ref="B55:F55"/>
    <mergeCell ref="B56:F56"/>
    <mergeCell ref="B57:F57"/>
    <mergeCell ref="B58:F58"/>
    <mergeCell ref="B59:F59"/>
    <mergeCell ref="A1:K1"/>
    <mergeCell ref="A2:K2"/>
    <mergeCell ref="A3:K3"/>
    <mergeCell ref="A5:K5"/>
    <mergeCell ref="A8:K8"/>
    <mergeCell ref="A9:K9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K10:K11"/>
    <mergeCell ref="B12:F12"/>
    <mergeCell ref="B13:F13"/>
    <mergeCell ref="B14:F14"/>
    <mergeCell ref="B15:F15"/>
    <mergeCell ref="B17:F17"/>
    <mergeCell ref="A10:A11"/>
    <mergeCell ref="B10:B11"/>
    <mergeCell ref="G10:G11"/>
    <mergeCell ref="H10:H11"/>
    <mergeCell ref="I10:I11"/>
    <mergeCell ref="J10:J11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A612:K612"/>
    <mergeCell ref="A613:K613"/>
    <mergeCell ref="A614:K614"/>
    <mergeCell ref="A620:K620"/>
    <mergeCell ref="A615:K615"/>
    <mergeCell ref="A617:K617"/>
    <mergeCell ref="A621:K621"/>
    <mergeCell ref="A475:I475"/>
    <mergeCell ref="A476:K476"/>
    <mergeCell ref="A477:K477"/>
    <mergeCell ref="A478:K478"/>
    <mergeCell ref="A480:K480"/>
    <mergeCell ref="A483:K483"/>
    <mergeCell ref="A484:K484"/>
    <mergeCell ref="A572:K572"/>
    <mergeCell ref="A573:K573"/>
    <mergeCell ref="A574:K574"/>
    <mergeCell ref="A575:K575"/>
    <mergeCell ref="A577:K577"/>
    <mergeCell ref="A580:K580"/>
    <mergeCell ref="A581:K581"/>
    <mergeCell ref="A489:B489"/>
    <mergeCell ref="A490:B490"/>
    <mergeCell ref="A491:B491"/>
    <mergeCell ref="G491:G500"/>
    <mergeCell ref="H491:H500"/>
    <mergeCell ref="A492:B492"/>
    <mergeCell ref="A493:B493"/>
    <mergeCell ref="F493:F500"/>
    <mergeCell ref="A494:B494"/>
    <mergeCell ref="A495:B495"/>
    <mergeCell ref="H485:H486"/>
  </mergeCells>
  <printOptions horizontalCentered="1"/>
  <pageMargins left="0" right="0" top="0.74803149606299213" bottom="0.74803149606299213" header="0.31496062992125984" footer="0.31496062992125984"/>
  <pageSetup paperSize="9" scale="10" firstPageNumber="8" orientation="landscape" useFirstPageNumber="1" verticalDpi="300" r:id="rId1"/>
  <headerFooter scaleWithDoc="0" alignWithMargins="0"/>
  <rowBreaks count="16" manualBreakCount="16">
    <brk id="61" max="16383" man="1"/>
    <brk id="125" max="16383" man="1"/>
    <brk id="198" max="16383" man="1"/>
    <brk id="254" max="16383" man="1"/>
    <brk id="305" max="10" man="1"/>
    <brk id="339" max="10" man="1"/>
    <brk id="370" max="16383" man="1"/>
    <brk id="408" max="10" man="1"/>
    <brk id="441" max="16383" man="1"/>
    <brk id="475" max="10" man="1"/>
    <brk id="508" max="16383" man="1"/>
    <brk id="540" max="16383" man="1"/>
    <brk id="572" max="10" man="1"/>
    <brk id="612" max="10" man="1"/>
    <brk id="769" max="16383" man="1"/>
    <brk id="8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1141"/>
  <sheetViews>
    <sheetView showGridLines="0" view="pageBreakPreview" zoomScale="23" zoomScaleNormal="30" zoomScaleSheetLayoutView="23" zoomScalePageLayoutView="25" workbookViewId="0">
      <selection activeCell="A10" sqref="A10:A11"/>
    </sheetView>
  </sheetViews>
  <sheetFormatPr defaultRowHeight="35.1" customHeight="1"/>
  <cols>
    <col min="1" max="1" width="122.28515625" style="41" customWidth="1"/>
    <col min="2" max="2" width="233.140625" style="27" customWidth="1"/>
    <col min="3" max="3" width="101.140625" style="27" customWidth="1"/>
    <col min="4" max="4" width="41.7109375" style="27" customWidth="1"/>
    <col min="5" max="5" width="191" style="27" customWidth="1"/>
    <col min="6" max="6" width="85.85546875" style="11" customWidth="1"/>
    <col min="7" max="7" width="57.42578125" style="11" customWidth="1"/>
    <col min="8" max="8" width="53.5703125" style="11" customWidth="1"/>
    <col min="9" max="9" width="79.42578125" style="11" customWidth="1"/>
    <col min="10" max="10" width="103.42578125" style="11" customWidth="1"/>
    <col min="11" max="11" width="87.28515625" style="11" customWidth="1"/>
    <col min="12" max="12" width="55" style="27" customWidth="1"/>
    <col min="13" max="13" width="53" style="27" bestFit="1" customWidth="1"/>
    <col min="14" max="14" width="9.140625" style="27"/>
    <col min="15" max="15" width="20.5703125" style="27" bestFit="1" customWidth="1"/>
    <col min="16" max="16384" width="9.140625" style="27"/>
  </cols>
  <sheetData>
    <row r="1" spans="1:11" ht="45">
      <c r="A1" s="979" t="s">
        <v>51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</row>
    <row r="2" spans="1:11" ht="45">
      <c r="A2" s="979" t="s">
        <v>52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</row>
    <row r="3" spans="1:11" ht="45">
      <c r="A3" s="1040" t="s">
        <v>50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</row>
    <row r="4" spans="1:11" ht="44.25">
      <c r="A4" s="736"/>
      <c r="B4" s="736"/>
      <c r="C4" s="736"/>
      <c r="D4" s="736"/>
      <c r="E4" s="736"/>
      <c r="F4" s="736"/>
      <c r="G4" s="838"/>
      <c r="H4" s="838"/>
      <c r="I4" s="838"/>
      <c r="J4" s="838"/>
      <c r="K4" s="838"/>
    </row>
    <row r="5" spans="1:11" ht="45">
      <c r="A5" s="979" t="s">
        <v>2214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</row>
    <row r="6" spans="1:11" s="620" customFormat="1" ht="33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1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1" ht="20.100000000000001" customHeight="1">
      <c r="A8" s="979"/>
      <c r="B8" s="979"/>
      <c r="C8" s="979"/>
      <c r="D8" s="979"/>
      <c r="E8" s="979"/>
      <c r="F8" s="979"/>
      <c r="G8" s="979"/>
      <c r="H8" s="979"/>
      <c r="I8" s="979"/>
      <c r="J8" s="979"/>
      <c r="K8" s="979"/>
    </row>
    <row r="9" spans="1:11" ht="45.75" customHeight="1">
      <c r="A9" s="1029" t="s">
        <v>2492</v>
      </c>
      <c r="B9" s="1030"/>
      <c r="C9" s="1030"/>
      <c r="D9" s="1030"/>
      <c r="E9" s="1030"/>
      <c r="F9" s="1030"/>
      <c r="G9" s="1030"/>
      <c r="H9" s="1030"/>
      <c r="I9" s="1030"/>
      <c r="J9" s="1030"/>
      <c r="K9" s="1030"/>
    </row>
    <row r="10" spans="1:11" s="904" customFormat="1" ht="61.5" customHeight="1">
      <c r="A10" s="1094" t="s">
        <v>183</v>
      </c>
      <c r="B10" s="1094" t="s">
        <v>209</v>
      </c>
      <c r="C10" s="886"/>
      <c r="D10" s="886"/>
      <c r="E10" s="886"/>
      <c r="F10" s="887"/>
      <c r="G10" s="1078" t="s">
        <v>440</v>
      </c>
      <c r="H10" s="1080" t="s">
        <v>16</v>
      </c>
      <c r="I10" s="1082" t="s">
        <v>1490</v>
      </c>
      <c r="J10" s="1082" t="s">
        <v>2507</v>
      </c>
      <c r="K10" s="1089" t="s">
        <v>200</v>
      </c>
    </row>
    <row r="11" spans="1:11" s="904" customFormat="1" ht="61.5" customHeight="1">
      <c r="A11" s="1095"/>
      <c r="B11" s="1095"/>
      <c r="C11" s="888"/>
      <c r="D11" s="888"/>
      <c r="E11" s="888"/>
      <c r="F11" s="889"/>
      <c r="G11" s="1079"/>
      <c r="H11" s="1081"/>
      <c r="I11" s="1082"/>
      <c r="J11" s="1082"/>
      <c r="K11" s="1090"/>
    </row>
    <row r="12" spans="1:11" s="872" customFormat="1" ht="61.5" customHeight="1">
      <c r="A12" s="890"/>
      <c r="B12" s="1091" t="s">
        <v>1970</v>
      </c>
      <c r="C12" s="1092"/>
      <c r="D12" s="1092"/>
      <c r="E12" s="1092"/>
      <c r="F12" s="1093"/>
      <c r="G12" s="891"/>
      <c r="H12" s="892"/>
      <c r="I12" s="871">
        <f>SUM(I13:I15)</f>
        <v>108133.20000000001</v>
      </c>
      <c r="J12" s="871">
        <f>SUM(J13:J15)</f>
        <v>72088.799999999988</v>
      </c>
      <c r="K12" s="871">
        <f t="shared" ref="K12:K61" si="0">I12+J12</f>
        <v>180222</v>
      </c>
    </row>
    <row r="13" spans="1:11" s="874" customFormat="1" ht="61.5" customHeight="1">
      <c r="A13" s="893" t="s">
        <v>2204</v>
      </c>
      <c r="B13" s="1083" t="s">
        <v>2205</v>
      </c>
      <c r="C13" s="1084"/>
      <c r="D13" s="1084"/>
      <c r="E13" s="1084"/>
      <c r="F13" s="1085"/>
      <c r="G13" s="894">
        <v>8100</v>
      </c>
      <c r="H13" s="895">
        <v>169711</v>
      </c>
      <c r="I13" s="873">
        <f>I734</f>
        <v>33599.4</v>
      </c>
      <c r="J13" s="873">
        <f>J734</f>
        <v>22399.599999999999</v>
      </c>
      <c r="K13" s="873">
        <f t="shared" si="0"/>
        <v>55999</v>
      </c>
    </row>
    <row r="14" spans="1:11" s="874" customFormat="1" ht="61.5" customHeight="1">
      <c r="A14" s="893" t="s">
        <v>193</v>
      </c>
      <c r="B14" s="1083" t="s">
        <v>1476</v>
      </c>
      <c r="C14" s="1084"/>
      <c r="D14" s="1084"/>
      <c r="E14" s="1084"/>
      <c r="F14" s="1085"/>
      <c r="G14" s="894">
        <v>8100</v>
      </c>
      <c r="H14" s="896" t="s">
        <v>2445</v>
      </c>
      <c r="I14" s="873">
        <f>I739</f>
        <v>3000</v>
      </c>
      <c r="J14" s="873">
        <f>J739</f>
        <v>2000</v>
      </c>
      <c r="K14" s="873">
        <f t="shared" si="0"/>
        <v>5000</v>
      </c>
    </row>
    <row r="15" spans="1:11" s="874" customFormat="1" ht="61.5" customHeight="1">
      <c r="A15" s="893" t="s">
        <v>194</v>
      </c>
      <c r="B15" s="1083" t="s">
        <v>199</v>
      </c>
      <c r="C15" s="1084"/>
      <c r="D15" s="1084"/>
      <c r="E15" s="1084"/>
      <c r="F15" s="1085"/>
      <c r="G15" s="894">
        <v>8100</v>
      </c>
      <c r="H15" s="895">
        <v>169711</v>
      </c>
      <c r="I15" s="873">
        <f>I741</f>
        <v>71533.8</v>
      </c>
      <c r="J15" s="873">
        <f>J741</f>
        <v>47689.2</v>
      </c>
      <c r="K15" s="873">
        <f t="shared" si="0"/>
        <v>119223</v>
      </c>
    </row>
    <row r="16" spans="1:11" s="872" customFormat="1" ht="61.5" customHeight="1">
      <c r="A16" s="890"/>
      <c r="B16" s="897" t="s">
        <v>2116</v>
      </c>
      <c r="C16" s="898"/>
      <c r="D16" s="898"/>
      <c r="E16" s="898"/>
      <c r="F16" s="899"/>
      <c r="G16" s="891"/>
      <c r="H16" s="892"/>
      <c r="I16" s="871">
        <f>SUM(I17:I19)</f>
        <v>40920</v>
      </c>
      <c r="J16" s="871">
        <f>SUM(J17:J19)</f>
        <v>27280</v>
      </c>
      <c r="K16" s="871">
        <f t="shared" si="0"/>
        <v>68200</v>
      </c>
    </row>
    <row r="17" spans="1:11" s="874" customFormat="1" ht="61.5" customHeight="1">
      <c r="A17" s="893" t="s">
        <v>2204</v>
      </c>
      <c r="B17" s="1083" t="s">
        <v>2205</v>
      </c>
      <c r="C17" s="1084"/>
      <c r="D17" s="1084"/>
      <c r="E17" s="1084"/>
      <c r="F17" s="1085"/>
      <c r="G17" s="894">
        <v>8100</v>
      </c>
      <c r="H17" s="895">
        <v>169711</v>
      </c>
      <c r="I17" s="873">
        <f>I888</f>
        <v>32050.799999999999</v>
      </c>
      <c r="J17" s="873">
        <f>J888</f>
        <v>21367.200000000001</v>
      </c>
      <c r="K17" s="873">
        <f t="shared" si="0"/>
        <v>53418</v>
      </c>
    </row>
    <row r="18" spans="1:11" s="874" customFormat="1" ht="61.5" customHeight="1">
      <c r="A18" s="893" t="s">
        <v>193</v>
      </c>
      <c r="B18" s="1083" t="s">
        <v>1476</v>
      </c>
      <c r="C18" s="1084"/>
      <c r="D18" s="1084"/>
      <c r="E18" s="1084"/>
      <c r="F18" s="1085"/>
      <c r="G18" s="894">
        <v>8100</v>
      </c>
      <c r="H18" s="896" t="s">
        <v>2445</v>
      </c>
      <c r="I18" s="873">
        <f>I895</f>
        <v>2869.2</v>
      </c>
      <c r="J18" s="873">
        <f>J895</f>
        <v>1912.8</v>
      </c>
      <c r="K18" s="873">
        <f t="shared" si="0"/>
        <v>4782</v>
      </c>
    </row>
    <row r="19" spans="1:11" s="874" customFormat="1" ht="61.5" customHeight="1">
      <c r="A19" s="893" t="s">
        <v>244</v>
      </c>
      <c r="B19" s="1083" t="s">
        <v>266</v>
      </c>
      <c r="C19" s="1084"/>
      <c r="D19" s="1084"/>
      <c r="E19" s="1084"/>
      <c r="F19" s="1085"/>
      <c r="G19" s="894">
        <v>8100</v>
      </c>
      <c r="H19" s="895">
        <v>169711</v>
      </c>
      <c r="I19" s="873">
        <f>I897</f>
        <v>6000</v>
      </c>
      <c r="J19" s="873">
        <f>J897</f>
        <v>4000</v>
      </c>
      <c r="K19" s="873">
        <f t="shared" si="0"/>
        <v>10000</v>
      </c>
    </row>
    <row r="20" spans="1:11" s="872" customFormat="1" ht="61.5" customHeight="1">
      <c r="A20" s="890"/>
      <c r="B20" s="1086" t="s">
        <v>2191</v>
      </c>
      <c r="C20" s="1087"/>
      <c r="D20" s="1087"/>
      <c r="E20" s="1087"/>
      <c r="F20" s="1088"/>
      <c r="G20" s="891"/>
      <c r="H20" s="892"/>
      <c r="I20" s="871">
        <f>SUM(I21:I23)</f>
        <v>135962.4</v>
      </c>
      <c r="J20" s="871">
        <f>SUM(J21:J23)</f>
        <v>90641.600000000006</v>
      </c>
      <c r="K20" s="871">
        <f t="shared" si="0"/>
        <v>226604</v>
      </c>
    </row>
    <row r="21" spans="1:11" s="874" customFormat="1" ht="61.5" customHeight="1">
      <c r="A21" s="893" t="s">
        <v>2204</v>
      </c>
      <c r="B21" s="1083" t="s">
        <v>2205</v>
      </c>
      <c r="C21" s="1084"/>
      <c r="D21" s="1084"/>
      <c r="E21" s="1084"/>
      <c r="F21" s="1085"/>
      <c r="G21" s="894">
        <v>8100</v>
      </c>
      <c r="H21" s="895">
        <v>169711</v>
      </c>
      <c r="I21" s="873">
        <f>I904</f>
        <v>110462.39999999999</v>
      </c>
      <c r="J21" s="873">
        <f>J904</f>
        <v>73641.600000000006</v>
      </c>
      <c r="K21" s="873">
        <f t="shared" si="0"/>
        <v>184104</v>
      </c>
    </row>
    <row r="22" spans="1:11" s="874" customFormat="1" ht="61.5" customHeight="1">
      <c r="A22" s="893" t="s">
        <v>193</v>
      </c>
      <c r="B22" s="1083" t="s">
        <v>1476</v>
      </c>
      <c r="C22" s="1084"/>
      <c r="D22" s="1084"/>
      <c r="E22" s="1084"/>
      <c r="F22" s="1085"/>
      <c r="G22" s="894">
        <v>8100</v>
      </c>
      <c r="H22" s="896" t="s">
        <v>2445</v>
      </c>
      <c r="I22" s="873">
        <f>I909</f>
        <v>12000</v>
      </c>
      <c r="J22" s="873">
        <f>J909</f>
        <v>8000</v>
      </c>
      <c r="K22" s="873">
        <f t="shared" si="0"/>
        <v>20000</v>
      </c>
    </row>
    <row r="23" spans="1:11" s="874" customFormat="1" ht="61.5" customHeight="1">
      <c r="A23" s="893" t="s">
        <v>244</v>
      </c>
      <c r="B23" s="1083" t="s">
        <v>266</v>
      </c>
      <c r="C23" s="1084"/>
      <c r="D23" s="1084"/>
      <c r="E23" s="1084"/>
      <c r="F23" s="1085"/>
      <c r="G23" s="894">
        <v>8100</v>
      </c>
      <c r="H23" s="895">
        <v>169711</v>
      </c>
      <c r="I23" s="873">
        <f>I911</f>
        <v>13500</v>
      </c>
      <c r="J23" s="873">
        <f>J911</f>
        <v>9000</v>
      </c>
      <c r="K23" s="873">
        <f t="shared" si="0"/>
        <v>22500</v>
      </c>
    </row>
    <row r="24" spans="1:11" s="872" customFormat="1" ht="61.5" customHeight="1">
      <c r="A24" s="890"/>
      <c r="B24" s="1086" t="s">
        <v>1803</v>
      </c>
      <c r="C24" s="1087"/>
      <c r="D24" s="1087"/>
      <c r="E24" s="1087"/>
      <c r="F24" s="1088"/>
      <c r="G24" s="891"/>
      <c r="H24" s="892"/>
      <c r="I24" s="871">
        <f>SUM(I25:I27)</f>
        <v>148380</v>
      </c>
      <c r="J24" s="871">
        <f>SUM(J25:J27)</f>
        <v>98920</v>
      </c>
      <c r="K24" s="871">
        <f t="shared" si="0"/>
        <v>247300</v>
      </c>
    </row>
    <row r="25" spans="1:11" s="874" customFormat="1" ht="61.5" customHeight="1">
      <c r="A25" s="893" t="s">
        <v>2275</v>
      </c>
      <c r="B25" s="1083" t="s">
        <v>2212</v>
      </c>
      <c r="C25" s="1084"/>
      <c r="D25" s="1084"/>
      <c r="E25" s="1084"/>
      <c r="F25" s="1085"/>
      <c r="G25" s="894">
        <v>8100</v>
      </c>
      <c r="H25" s="895">
        <v>169711</v>
      </c>
      <c r="I25" s="873">
        <f>I277</f>
        <v>57310.799999999996</v>
      </c>
      <c r="J25" s="873">
        <f>J277</f>
        <v>38207.199999999997</v>
      </c>
      <c r="K25" s="873">
        <f t="shared" si="0"/>
        <v>95518</v>
      </c>
    </row>
    <row r="26" spans="1:11" s="874" customFormat="1" ht="61.5" customHeight="1">
      <c r="A26" s="893" t="s">
        <v>2204</v>
      </c>
      <c r="B26" s="1083" t="s">
        <v>2205</v>
      </c>
      <c r="C26" s="1084"/>
      <c r="D26" s="1084"/>
      <c r="E26" s="1084"/>
      <c r="F26" s="1085"/>
      <c r="G26" s="894">
        <v>8100</v>
      </c>
      <c r="H26" s="895">
        <v>169711</v>
      </c>
      <c r="I26" s="873">
        <f>I279</f>
        <v>74269.2</v>
      </c>
      <c r="J26" s="873">
        <f>J279</f>
        <v>49512.800000000003</v>
      </c>
      <c r="K26" s="873">
        <f t="shared" si="0"/>
        <v>123782</v>
      </c>
    </row>
    <row r="27" spans="1:11" s="874" customFormat="1" ht="61.5" customHeight="1">
      <c r="A27" s="893" t="s">
        <v>244</v>
      </c>
      <c r="B27" s="1083" t="s">
        <v>266</v>
      </c>
      <c r="C27" s="1084"/>
      <c r="D27" s="1084"/>
      <c r="E27" s="1084"/>
      <c r="F27" s="1085"/>
      <c r="G27" s="894">
        <v>8100</v>
      </c>
      <c r="H27" s="895">
        <v>169711</v>
      </c>
      <c r="I27" s="873">
        <f>I288</f>
        <v>16800</v>
      </c>
      <c r="J27" s="873">
        <f>J288</f>
        <v>11200</v>
      </c>
      <c r="K27" s="873">
        <f t="shared" si="0"/>
        <v>28000</v>
      </c>
    </row>
    <row r="28" spans="1:11" s="872" customFormat="1" ht="61.5" customHeight="1">
      <c r="A28" s="890"/>
      <c r="B28" s="1086" t="s">
        <v>1952</v>
      </c>
      <c r="C28" s="1087"/>
      <c r="D28" s="1087"/>
      <c r="E28" s="1087"/>
      <c r="F28" s="1088"/>
      <c r="G28" s="891"/>
      <c r="H28" s="892"/>
      <c r="I28" s="871">
        <f>SUM(I29:I31)</f>
        <v>66321</v>
      </c>
      <c r="J28" s="871">
        <f>SUM(J29:J31)</f>
        <v>44214</v>
      </c>
      <c r="K28" s="871">
        <f t="shared" si="0"/>
        <v>110535</v>
      </c>
    </row>
    <row r="29" spans="1:11" s="874" customFormat="1" ht="61.5" customHeight="1">
      <c r="A29" s="893" t="s">
        <v>2204</v>
      </c>
      <c r="B29" s="1083" t="s">
        <v>2205</v>
      </c>
      <c r="C29" s="1084"/>
      <c r="D29" s="1084"/>
      <c r="E29" s="1084"/>
      <c r="F29" s="1085"/>
      <c r="G29" s="894">
        <v>8100</v>
      </c>
      <c r="H29" s="895">
        <v>169711</v>
      </c>
      <c r="I29" s="873">
        <f>I747</f>
        <v>58341</v>
      </c>
      <c r="J29" s="873">
        <f>J747</f>
        <v>38894</v>
      </c>
      <c r="K29" s="873">
        <f t="shared" si="0"/>
        <v>97235</v>
      </c>
    </row>
    <row r="30" spans="1:11" s="874" customFormat="1" ht="61.5" customHeight="1">
      <c r="A30" s="893" t="s">
        <v>193</v>
      </c>
      <c r="B30" s="1083" t="s">
        <v>1476</v>
      </c>
      <c r="C30" s="1084"/>
      <c r="D30" s="1084"/>
      <c r="E30" s="1084"/>
      <c r="F30" s="1085"/>
      <c r="G30" s="894">
        <v>8100</v>
      </c>
      <c r="H30" s="896" t="s">
        <v>2445</v>
      </c>
      <c r="I30" s="873">
        <f>I753</f>
        <v>5580</v>
      </c>
      <c r="J30" s="873">
        <f>J753</f>
        <v>3720</v>
      </c>
      <c r="K30" s="873">
        <f t="shared" si="0"/>
        <v>9300</v>
      </c>
    </row>
    <row r="31" spans="1:11" s="874" customFormat="1" ht="61.5" customHeight="1">
      <c r="A31" s="893" t="s">
        <v>244</v>
      </c>
      <c r="B31" s="1083" t="s">
        <v>266</v>
      </c>
      <c r="C31" s="1084"/>
      <c r="D31" s="1084"/>
      <c r="E31" s="1084"/>
      <c r="F31" s="1085"/>
      <c r="G31" s="894">
        <v>8100</v>
      </c>
      <c r="H31" s="895">
        <v>169711</v>
      </c>
      <c r="I31" s="873">
        <f>I755</f>
        <v>2400</v>
      </c>
      <c r="J31" s="873">
        <f>J755</f>
        <v>1600</v>
      </c>
      <c r="K31" s="873">
        <f t="shared" si="0"/>
        <v>4000</v>
      </c>
    </row>
    <row r="32" spans="1:11" s="872" customFormat="1" ht="61.5" customHeight="1">
      <c r="A32" s="890"/>
      <c r="B32" s="1086" t="s">
        <v>2156</v>
      </c>
      <c r="C32" s="1087"/>
      <c r="D32" s="1087"/>
      <c r="E32" s="1087"/>
      <c r="F32" s="1088"/>
      <c r="G32" s="891"/>
      <c r="H32" s="892"/>
      <c r="I32" s="871">
        <f>SUM(I33:I35)</f>
        <v>44463</v>
      </c>
      <c r="J32" s="871">
        <f>SUM(J33:J35)</f>
        <v>29642</v>
      </c>
      <c r="K32" s="871">
        <f t="shared" si="0"/>
        <v>74105</v>
      </c>
    </row>
    <row r="33" spans="1:11" s="874" customFormat="1" ht="61.5" customHeight="1">
      <c r="A33" s="893" t="s">
        <v>2204</v>
      </c>
      <c r="B33" s="1083" t="s">
        <v>2205</v>
      </c>
      <c r="C33" s="1084"/>
      <c r="D33" s="1084"/>
      <c r="E33" s="1084"/>
      <c r="F33" s="1085"/>
      <c r="G33" s="894">
        <v>8100</v>
      </c>
      <c r="H33" s="895">
        <v>169711</v>
      </c>
      <c r="I33" s="873">
        <f>I930</f>
        <v>32463</v>
      </c>
      <c r="J33" s="873">
        <f>J930</f>
        <v>21642</v>
      </c>
      <c r="K33" s="873">
        <f t="shared" si="0"/>
        <v>54105</v>
      </c>
    </row>
    <row r="34" spans="1:11" s="874" customFormat="1" ht="61.5" customHeight="1">
      <c r="A34" s="893" t="s">
        <v>193</v>
      </c>
      <c r="B34" s="1083" t="s">
        <v>1476</v>
      </c>
      <c r="C34" s="1084"/>
      <c r="D34" s="1084"/>
      <c r="E34" s="1084"/>
      <c r="F34" s="1085"/>
      <c r="G34" s="894">
        <v>8100</v>
      </c>
      <c r="H34" s="896" t="s">
        <v>2445</v>
      </c>
      <c r="I34" s="873">
        <f>I937</f>
        <v>6000</v>
      </c>
      <c r="J34" s="873">
        <f>J937</f>
        <v>4000</v>
      </c>
      <c r="K34" s="873">
        <f t="shared" si="0"/>
        <v>10000</v>
      </c>
    </row>
    <row r="35" spans="1:11" s="874" customFormat="1" ht="61.5" customHeight="1">
      <c r="A35" s="893" t="s">
        <v>244</v>
      </c>
      <c r="B35" s="1083" t="s">
        <v>266</v>
      </c>
      <c r="C35" s="1084"/>
      <c r="D35" s="1084"/>
      <c r="E35" s="1084"/>
      <c r="F35" s="1085"/>
      <c r="G35" s="894">
        <v>8100</v>
      </c>
      <c r="H35" s="895">
        <v>169711</v>
      </c>
      <c r="I35" s="873">
        <f>I939</f>
        <v>6000</v>
      </c>
      <c r="J35" s="873">
        <f>J939</f>
        <v>4000</v>
      </c>
      <c r="K35" s="873">
        <f t="shared" si="0"/>
        <v>10000</v>
      </c>
    </row>
    <row r="36" spans="1:11" s="872" customFormat="1" ht="61.5" customHeight="1">
      <c r="A36" s="890"/>
      <c r="B36" s="1086" t="s">
        <v>1947</v>
      </c>
      <c r="C36" s="1087"/>
      <c r="D36" s="1087"/>
      <c r="E36" s="1087"/>
      <c r="F36" s="1088"/>
      <c r="G36" s="891"/>
      <c r="H36" s="892"/>
      <c r="I36" s="871">
        <f>SUM(I37:I37)</f>
        <v>41142.6</v>
      </c>
      <c r="J36" s="871">
        <f>SUM(J37:J37)</f>
        <v>27428.399999999998</v>
      </c>
      <c r="K36" s="871">
        <f t="shared" si="0"/>
        <v>68571</v>
      </c>
    </row>
    <row r="37" spans="1:11" s="874" customFormat="1" ht="61.5" customHeight="1">
      <c r="A37" s="893" t="s">
        <v>2204</v>
      </c>
      <c r="B37" s="1083" t="s">
        <v>2205</v>
      </c>
      <c r="C37" s="1084"/>
      <c r="D37" s="1084"/>
      <c r="E37" s="1084"/>
      <c r="F37" s="1085"/>
      <c r="G37" s="894">
        <v>8100</v>
      </c>
      <c r="H37" s="895">
        <v>169711</v>
      </c>
      <c r="I37" s="873">
        <f>I761</f>
        <v>41142.6</v>
      </c>
      <c r="J37" s="873">
        <f>J761</f>
        <v>27428.399999999998</v>
      </c>
      <c r="K37" s="873">
        <f t="shared" si="0"/>
        <v>68571</v>
      </c>
    </row>
    <row r="38" spans="1:11" s="872" customFormat="1" ht="61.5" customHeight="1">
      <c r="A38" s="890"/>
      <c r="B38" s="1086" t="s">
        <v>2030</v>
      </c>
      <c r="C38" s="1087"/>
      <c r="D38" s="1087"/>
      <c r="E38" s="1087"/>
      <c r="F38" s="1088"/>
      <c r="G38" s="891"/>
      <c r="H38" s="892"/>
      <c r="I38" s="871">
        <f>SUM(I39:I42)</f>
        <v>84009</v>
      </c>
      <c r="J38" s="871">
        <f>SUM(J39:J42)</f>
        <v>56006</v>
      </c>
      <c r="K38" s="871">
        <f t="shared" si="0"/>
        <v>140015</v>
      </c>
    </row>
    <row r="39" spans="1:11" s="874" customFormat="1" ht="61.5" customHeight="1">
      <c r="A39" s="893" t="s">
        <v>2275</v>
      </c>
      <c r="B39" s="1083" t="s">
        <v>2212</v>
      </c>
      <c r="C39" s="1084"/>
      <c r="D39" s="1084"/>
      <c r="E39" s="1084"/>
      <c r="F39" s="1085"/>
      <c r="G39" s="894">
        <v>8100</v>
      </c>
      <c r="H39" s="895">
        <v>169711</v>
      </c>
      <c r="I39" s="873">
        <f>I946</f>
        <v>19851</v>
      </c>
      <c r="J39" s="873">
        <f>J946</f>
        <v>13234</v>
      </c>
      <c r="K39" s="873">
        <f t="shared" si="0"/>
        <v>33085</v>
      </c>
    </row>
    <row r="40" spans="1:11" s="874" customFormat="1" ht="61.5" customHeight="1">
      <c r="A40" s="893" t="s">
        <v>2204</v>
      </c>
      <c r="B40" s="1083" t="s">
        <v>2205</v>
      </c>
      <c r="C40" s="1084"/>
      <c r="D40" s="1084"/>
      <c r="E40" s="1084"/>
      <c r="F40" s="1085"/>
      <c r="G40" s="894">
        <v>8100</v>
      </c>
      <c r="H40" s="895">
        <v>169711</v>
      </c>
      <c r="I40" s="873">
        <f>I948</f>
        <v>56358</v>
      </c>
      <c r="J40" s="873">
        <f>J948</f>
        <v>37572</v>
      </c>
      <c r="K40" s="873">
        <f t="shared" si="0"/>
        <v>93930</v>
      </c>
    </row>
    <row r="41" spans="1:11" s="874" customFormat="1" ht="61.5" customHeight="1">
      <c r="A41" s="893" t="s">
        <v>193</v>
      </c>
      <c r="B41" s="1083" t="s">
        <v>1476</v>
      </c>
      <c r="C41" s="1084"/>
      <c r="D41" s="1084"/>
      <c r="E41" s="1084"/>
      <c r="F41" s="1085"/>
      <c r="G41" s="894">
        <v>8100</v>
      </c>
      <c r="H41" s="896" t="s">
        <v>2445</v>
      </c>
      <c r="I41" s="873">
        <f>I954</f>
        <v>6000</v>
      </c>
      <c r="J41" s="873">
        <f>J954</f>
        <v>4000</v>
      </c>
      <c r="K41" s="873">
        <f t="shared" si="0"/>
        <v>10000</v>
      </c>
    </row>
    <row r="42" spans="1:11" s="874" customFormat="1" ht="61.5" customHeight="1">
      <c r="A42" s="893" t="s">
        <v>244</v>
      </c>
      <c r="B42" s="1083" t="s">
        <v>266</v>
      </c>
      <c r="C42" s="1084"/>
      <c r="D42" s="1084"/>
      <c r="E42" s="1084"/>
      <c r="F42" s="1085"/>
      <c r="G42" s="894">
        <v>8100</v>
      </c>
      <c r="H42" s="895">
        <v>169711</v>
      </c>
      <c r="I42" s="873">
        <f>I956</f>
        <v>1800</v>
      </c>
      <c r="J42" s="873">
        <f>J956</f>
        <v>1200</v>
      </c>
      <c r="K42" s="873">
        <f t="shared" si="0"/>
        <v>3000</v>
      </c>
    </row>
    <row r="43" spans="1:11" s="872" customFormat="1" ht="61.5" customHeight="1">
      <c r="A43" s="890"/>
      <c r="B43" s="1086" t="s">
        <v>1709</v>
      </c>
      <c r="C43" s="1087"/>
      <c r="D43" s="1087"/>
      <c r="E43" s="1087"/>
      <c r="F43" s="1088"/>
      <c r="G43" s="891"/>
      <c r="H43" s="892"/>
      <c r="I43" s="871">
        <f>SUM(I44:I48)</f>
        <v>805472</v>
      </c>
      <c r="J43" s="871">
        <f>SUM(J44:J48)</f>
        <v>438818</v>
      </c>
      <c r="K43" s="871">
        <f t="shared" si="0"/>
        <v>1244290</v>
      </c>
    </row>
    <row r="44" spans="1:11" s="874" customFormat="1" ht="61.5" customHeight="1">
      <c r="A44" s="893" t="s">
        <v>2</v>
      </c>
      <c r="B44" s="1083" t="s">
        <v>347</v>
      </c>
      <c r="C44" s="1084"/>
      <c r="D44" s="1084"/>
      <c r="E44" s="1084"/>
      <c r="F44" s="1085"/>
      <c r="G44" s="894">
        <v>8100</v>
      </c>
      <c r="H44" s="895">
        <v>169708</v>
      </c>
      <c r="I44" s="873">
        <f>I239-I45</f>
        <v>620157</v>
      </c>
      <c r="J44" s="873">
        <f>J239-J45</f>
        <v>332188</v>
      </c>
      <c r="K44" s="873">
        <f t="shared" si="0"/>
        <v>952345</v>
      </c>
    </row>
    <row r="45" spans="1:11" s="874" customFormat="1" ht="61.5" customHeight="1">
      <c r="A45" s="893"/>
      <c r="B45" s="1083" t="s">
        <v>2465</v>
      </c>
      <c r="C45" s="1084"/>
      <c r="D45" s="1084"/>
      <c r="E45" s="1084"/>
      <c r="F45" s="1085"/>
      <c r="G45" s="894"/>
      <c r="H45" s="895"/>
      <c r="I45" s="873">
        <f>I254+I255</f>
        <v>24172</v>
      </c>
      <c r="J45" s="873">
        <f>J254</f>
        <v>0</v>
      </c>
      <c r="K45" s="873">
        <f>I45+J45</f>
        <v>24172</v>
      </c>
    </row>
    <row r="46" spans="1:11" s="874" customFormat="1" ht="61.5" customHeight="1">
      <c r="A46" s="893" t="s">
        <v>480</v>
      </c>
      <c r="B46" s="1083" t="s">
        <v>482</v>
      </c>
      <c r="C46" s="1084"/>
      <c r="D46" s="1084"/>
      <c r="E46" s="1084"/>
      <c r="F46" s="1085"/>
      <c r="G46" s="894">
        <v>8100</v>
      </c>
      <c r="H46" s="895">
        <v>169715</v>
      </c>
      <c r="I46" s="873">
        <f>I256-I47</f>
        <v>150985</v>
      </c>
      <c r="J46" s="873">
        <f>J256-J47</f>
        <v>103915</v>
      </c>
      <c r="K46" s="873">
        <f t="shared" si="0"/>
        <v>254900</v>
      </c>
    </row>
    <row r="47" spans="1:11" s="874" customFormat="1" ht="61.5" customHeight="1">
      <c r="A47" s="893"/>
      <c r="B47" s="1083" t="s">
        <v>2466</v>
      </c>
      <c r="C47" s="1084"/>
      <c r="D47" s="1084"/>
      <c r="E47" s="1084"/>
      <c r="F47" s="1085"/>
      <c r="G47" s="894"/>
      <c r="H47" s="895"/>
      <c r="I47" s="873">
        <f>I258</f>
        <v>6211</v>
      </c>
      <c r="J47" s="873">
        <f>J258</f>
        <v>0</v>
      </c>
      <c r="K47" s="873">
        <f>I47+J47</f>
        <v>6211</v>
      </c>
    </row>
    <row r="48" spans="1:11" s="874" customFormat="1" ht="61.5" customHeight="1">
      <c r="A48" s="893" t="s">
        <v>533</v>
      </c>
      <c r="B48" s="1083" t="s">
        <v>1255</v>
      </c>
      <c r="C48" s="1084"/>
      <c r="D48" s="1084"/>
      <c r="E48" s="1084"/>
      <c r="F48" s="1085"/>
      <c r="G48" s="894">
        <v>8100</v>
      </c>
      <c r="H48" s="895">
        <v>169709</v>
      </c>
      <c r="I48" s="873">
        <f>I259</f>
        <v>3947</v>
      </c>
      <c r="J48" s="873">
        <f>J259</f>
        <v>2715</v>
      </c>
      <c r="K48" s="873">
        <f t="shared" si="0"/>
        <v>6662</v>
      </c>
    </row>
    <row r="49" spans="1:11" s="872" customFormat="1" ht="61.5" customHeight="1">
      <c r="A49" s="890"/>
      <c r="B49" s="1086" t="s">
        <v>1711</v>
      </c>
      <c r="C49" s="1087"/>
      <c r="D49" s="1087"/>
      <c r="E49" s="1087"/>
      <c r="F49" s="1088"/>
      <c r="G49" s="891"/>
      <c r="H49" s="892"/>
      <c r="I49" s="871">
        <f>SUM(I50:I54)</f>
        <v>908290</v>
      </c>
      <c r="J49" s="871">
        <f>SUM(J50:J54)</f>
        <v>552680</v>
      </c>
      <c r="K49" s="871">
        <f t="shared" si="0"/>
        <v>1460970</v>
      </c>
    </row>
    <row r="50" spans="1:11" s="874" customFormat="1" ht="61.5" customHeight="1">
      <c r="A50" s="893" t="s">
        <v>2</v>
      </c>
      <c r="B50" s="1083" t="s">
        <v>347</v>
      </c>
      <c r="C50" s="1084"/>
      <c r="D50" s="1084"/>
      <c r="E50" s="1084"/>
      <c r="F50" s="1085"/>
      <c r="G50" s="894">
        <v>8100</v>
      </c>
      <c r="H50" s="895">
        <v>169708</v>
      </c>
      <c r="I50" s="873">
        <f>I304-I51</f>
        <v>690303</v>
      </c>
      <c r="J50" s="873">
        <f>J304-J51</f>
        <v>427202</v>
      </c>
      <c r="K50" s="873">
        <f t="shared" si="0"/>
        <v>1117505</v>
      </c>
    </row>
    <row r="51" spans="1:11" s="874" customFormat="1" ht="61.5" customHeight="1">
      <c r="A51" s="893"/>
      <c r="B51" s="1083" t="s">
        <v>2465</v>
      </c>
      <c r="C51" s="1084"/>
      <c r="D51" s="1084"/>
      <c r="E51" s="1084"/>
      <c r="F51" s="1085"/>
      <c r="G51" s="894"/>
      <c r="H51" s="895"/>
      <c r="I51" s="873">
        <f>I317+I318</f>
        <v>28363</v>
      </c>
      <c r="J51" s="873">
        <f>J317</f>
        <v>0</v>
      </c>
      <c r="K51" s="873">
        <f>I51+J51</f>
        <v>28363</v>
      </c>
    </row>
    <row r="52" spans="1:11" s="874" customFormat="1" ht="61.5" customHeight="1">
      <c r="A52" s="893" t="s">
        <v>480</v>
      </c>
      <c r="B52" s="1083" t="s">
        <v>482</v>
      </c>
      <c r="C52" s="1084"/>
      <c r="D52" s="1084"/>
      <c r="E52" s="1084"/>
      <c r="F52" s="1085"/>
      <c r="G52" s="894">
        <v>8100</v>
      </c>
      <c r="H52" s="895">
        <v>169715</v>
      </c>
      <c r="I52" s="873">
        <f>I319-I53</f>
        <v>177672</v>
      </c>
      <c r="J52" s="873">
        <f>J319-J53</f>
        <v>122283</v>
      </c>
      <c r="K52" s="873">
        <f t="shared" si="0"/>
        <v>299955</v>
      </c>
    </row>
    <row r="53" spans="1:11" s="874" customFormat="1" ht="61.5" customHeight="1">
      <c r="A53" s="893"/>
      <c r="B53" s="1083" t="s">
        <v>2466</v>
      </c>
      <c r="C53" s="1084"/>
      <c r="D53" s="1084"/>
      <c r="E53" s="1084"/>
      <c r="F53" s="1085"/>
      <c r="G53" s="894"/>
      <c r="H53" s="895"/>
      <c r="I53" s="873">
        <f>I321</f>
        <v>7309</v>
      </c>
      <c r="J53" s="873">
        <f>J321</f>
        <v>0</v>
      </c>
      <c r="K53" s="873">
        <f>I53+J53</f>
        <v>7309</v>
      </c>
    </row>
    <row r="54" spans="1:11" s="874" customFormat="1" ht="61.5" customHeight="1">
      <c r="A54" s="893" t="s">
        <v>533</v>
      </c>
      <c r="B54" s="1083" t="s">
        <v>1255</v>
      </c>
      <c r="C54" s="1084"/>
      <c r="D54" s="1084"/>
      <c r="E54" s="1084"/>
      <c r="F54" s="1085"/>
      <c r="G54" s="894">
        <v>8100</v>
      </c>
      <c r="H54" s="895">
        <v>169709</v>
      </c>
      <c r="I54" s="873">
        <f>I322</f>
        <v>4643</v>
      </c>
      <c r="J54" s="873">
        <f>J322</f>
        <v>3195</v>
      </c>
      <c r="K54" s="873">
        <f t="shared" si="0"/>
        <v>7838</v>
      </c>
    </row>
    <row r="55" spans="1:11" s="872" customFormat="1" ht="61.5" customHeight="1">
      <c r="A55" s="890"/>
      <c r="B55" s="1086" t="s">
        <v>1602</v>
      </c>
      <c r="C55" s="1087"/>
      <c r="D55" s="1087"/>
      <c r="E55" s="1087"/>
      <c r="F55" s="1088"/>
      <c r="G55" s="891"/>
      <c r="H55" s="892"/>
      <c r="I55" s="871">
        <f>SUM(I56:I58)</f>
        <v>711751.8</v>
      </c>
      <c r="J55" s="871">
        <f>SUM(J56:J58)</f>
        <v>474501.2</v>
      </c>
      <c r="K55" s="871">
        <f t="shared" si="0"/>
        <v>1186253</v>
      </c>
    </row>
    <row r="56" spans="1:11" s="874" customFormat="1" ht="61.5" customHeight="1">
      <c r="A56" s="893" t="s">
        <v>2275</v>
      </c>
      <c r="B56" s="1083" t="s">
        <v>2212</v>
      </c>
      <c r="C56" s="1084"/>
      <c r="D56" s="1084"/>
      <c r="E56" s="1084"/>
      <c r="F56" s="1085"/>
      <c r="G56" s="894">
        <v>8100</v>
      </c>
      <c r="H56" s="895">
        <v>169711</v>
      </c>
      <c r="I56" s="873">
        <f>I330</f>
        <v>531000</v>
      </c>
      <c r="J56" s="873">
        <f>J330</f>
        <v>354000</v>
      </c>
      <c r="K56" s="873">
        <f t="shared" si="0"/>
        <v>885000</v>
      </c>
    </row>
    <row r="57" spans="1:11" s="874" customFormat="1" ht="61.5" customHeight="1">
      <c r="A57" s="893" t="s">
        <v>2204</v>
      </c>
      <c r="B57" s="1083" t="s">
        <v>2205</v>
      </c>
      <c r="C57" s="1084"/>
      <c r="D57" s="1084"/>
      <c r="E57" s="1084"/>
      <c r="F57" s="1085"/>
      <c r="G57" s="894">
        <v>8100</v>
      </c>
      <c r="H57" s="895">
        <v>169711</v>
      </c>
      <c r="I57" s="873">
        <f>I332</f>
        <v>173551.8</v>
      </c>
      <c r="J57" s="873">
        <f>J332</f>
        <v>115701.2</v>
      </c>
      <c r="K57" s="873">
        <f t="shared" si="0"/>
        <v>289253</v>
      </c>
    </row>
    <row r="58" spans="1:11" s="874" customFormat="1" ht="61.5" customHeight="1">
      <c r="A58" s="893" t="s">
        <v>193</v>
      </c>
      <c r="B58" s="1083" t="s">
        <v>1476</v>
      </c>
      <c r="C58" s="1084"/>
      <c r="D58" s="1084"/>
      <c r="E58" s="1084"/>
      <c r="F58" s="1085"/>
      <c r="G58" s="894">
        <v>8100</v>
      </c>
      <c r="H58" s="896" t="s">
        <v>2445</v>
      </c>
      <c r="I58" s="873">
        <f>I338</f>
        <v>7200</v>
      </c>
      <c r="J58" s="873">
        <f>J338</f>
        <v>4800</v>
      </c>
      <c r="K58" s="873">
        <f t="shared" si="0"/>
        <v>12000</v>
      </c>
    </row>
    <row r="59" spans="1:11" s="872" customFormat="1" ht="61.5" customHeight="1">
      <c r="A59" s="890"/>
      <c r="B59" s="1086" t="s">
        <v>1542</v>
      </c>
      <c r="C59" s="1087"/>
      <c r="D59" s="1087"/>
      <c r="E59" s="1087"/>
      <c r="F59" s="1088"/>
      <c r="G59" s="891"/>
      <c r="H59" s="892"/>
      <c r="I59" s="871">
        <f>SUM(I60:I61)</f>
        <v>290648.40000000002</v>
      </c>
      <c r="J59" s="871">
        <f>SUM(J60:J61)</f>
        <v>193765.59999999998</v>
      </c>
      <c r="K59" s="871">
        <f t="shared" si="0"/>
        <v>484414</v>
      </c>
    </row>
    <row r="60" spans="1:11" s="874" customFormat="1" ht="61.5" customHeight="1">
      <c r="A60" s="893" t="s">
        <v>2204</v>
      </c>
      <c r="B60" s="1083" t="s">
        <v>2205</v>
      </c>
      <c r="C60" s="1084"/>
      <c r="D60" s="1084"/>
      <c r="E60" s="1084"/>
      <c r="F60" s="1085"/>
      <c r="G60" s="894">
        <v>8100</v>
      </c>
      <c r="H60" s="895">
        <v>169711</v>
      </c>
      <c r="I60" s="873">
        <f>I419</f>
        <v>6600</v>
      </c>
      <c r="J60" s="873">
        <f>J419</f>
        <v>4400</v>
      </c>
      <c r="K60" s="873">
        <f t="shared" si="0"/>
        <v>11000</v>
      </c>
    </row>
    <row r="61" spans="1:11" s="874" customFormat="1" ht="61.5" customHeight="1">
      <c r="A61" s="893" t="s">
        <v>244</v>
      </c>
      <c r="B61" s="1083" t="s">
        <v>266</v>
      </c>
      <c r="C61" s="1084"/>
      <c r="D61" s="1084"/>
      <c r="E61" s="1084"/>
      <c r="F61" s="1085"/>
      <c r="G61" s="894">
        <v>8100</v>
      </c>
      <c r="H61" s="895">
        <v>169711</v>
      </c>
      <c r="I61" s="873">
        <f>I353</f>
        <v>284048.40000000002</v>
      </c>
      <c r="J61" s="873">
        <f>J353</f>
        <v>189365.59999999998</v>
      </c>
      <c r="K61" s="873">
        <f t="shared" si="0"/>
        <v>473414</v>
      </c>
    </row>
    <row r="62" spans="1:11" s="548" customFormat="1" ht="42" customHeight="1">
      <c r="A62" s="761"/>
      <c r="B62" s="760"/>
      <c r="C62" s="760"/>
      <c r="D62" s="760"/>
      <c r="E62" s="760"/>
      <c r="F62" s="760"/>
      <c r="G62" s="762"/>
      <c r="H62" s="762"/>
      <c r="I62" s="763"/>
      <c r="J62" s="763"/>
      <c r="K62" s="763"/>
    </row>
    <row r="63" spans="1:11" ht="45">
      <c r="A63" s="979" t="s">
        <v>51</v>
      </c>
      <c r="B63" s="979"/>
      <c r="C63" s="979"/>
      <c r="D63" s="979"/>
      <c r="E63" s="979"/>
      <c r="F63" s="979"/>
      <c r="G63" s="979"/>
      <c r="H63" s="979"/>
      <c r="I63" s="979"/>
      <c r="J63" s="979"/>
      <c r="K63" s="979"/>
    </row>
    <row r="64" spans="1:11" ht="45">
      <c r="A64" s="979" t="s">
        <v>52</v>
      </c>
      <c r="B64" s="979"/>
      <c r="C64" s="979"/>
      <c r="D64" s="979"/>
      <c r="E64" s="979"/>
      <c r="F64" s="979"/>
      <c r="G64" s="979"/>
      <c r="H64" s="979"/>
      <c r="I64" s="979"/>
      <c r="J64" s="979"/>
      <c r="K64" s="979"/>
    </row>
    <row r="65" spans="1:11" ht="45">
      <c r="A65" s="1040" t="s">
        <v>50</v>
      </c>
      <c r="B65" s="1040"/>
      <c r="C65" s="1040"/>
      <c r="D65" s="1040"/>
      <c r="E65" s="1040"/>
      <c r="F65" s="1040"/>
      <c r="G65" s="1040"/>
      <c r="H65" s="1040"/>
      <c r="I65" s="1040"/>
      <c r="J65" s="1040"/>
      <c r="K65" s="1040"/>
    </row>
    <row r="66" spans="1:11" ht="44.25">
      <c r="A66" s="736"/>
      <c r="B66" s="736"/>
      <c r="C66" s="736"/>
      <c r="D66" s="736"/>
      <c r="E66" s="736"/>
      <c r="F66" s="736"/>
      <c r="G66" s="838"/>
      <c r="H66" s="838"/>
      <c r="I66" s="838"/>
      <c r="J66" s="838"/>
      <c r="K66" s="838"/>
    </row>
    <row r="67" spans="1:11" ht="45">
      <c r="A67" s="979" t="s">
        <v>2214</v>
      </c>
      <c r="B67" s="979"/>
      <c r="C67" s="979"/>
      <c r="D67" s="979"/>
      <c r="E67" s="979"/>
      <c r="F67" s="979"/>
      <c r="G67" s="979"/>
      <c r="H67" s="979"/>
      <c r="I67" s="979"/>
      <c r="J67" s="979"/>
      <c r="K67" s="979"/>
    </row>
    <row r="68" spans="1:11" s="620" customFormat="1" ht="33">
      <c r="A68" s="65"/>
      <c r="B68" s="65"/>
      <c r="C68" s="65"/>
      <c r="D68" s="65"/>
      <c r="E68" s="65"/>
      <c r="F68" s="65"/>
      <c r="G68" s="68"/>
      <c r="H68" s="68"/>
      <c r="I68" s="68"/>
      <c r="J68" s="68"/>
      <c r="K68" s="68"/>
    </row>
    <row r="69" spans="1:11" ht="20.100000000000001" customHeight="1">
      <c r="A69" s="65"/>
      <c r="B69" s="65"/>
      <c r="C69" s="65"/>
      <c r="D69" s="65"/>
      <c r="E69" s="65"/>
      <c r="F69" s="65"/>
      <c r="G69" s="68"/>
      <c r="H69" s="68"/>
      <c r="I69" s="68"/>
      <c r="J69" s="68"/>
      <c r="K69" s="68"/>
    </row>
    <row r="70" spans="1:11" ht="20.100000000000001" customHeight="1">
      <c r="A70" s="979"/>
      <c r="B70" s="979"/>
      <c r="C70" s="979"/>
      <c r="D70" s="979"/>
      <c r="E70" s="979"/>
      <c r="F70" s="979"/>
      <c r="G70" s="979"/>
      <c r="H70" s="979"/>
      <c r="I70" s="979"/>
      <c r="J70" s="979"/>
      <c r="K70" s="979"/>
    </row>
    <row r="71" spans="1:11" ht="45.75" customHeight="1">
      <c r="A71" s="1029" t="s">
        <v>2492</v>
      </c>
      <c r="B71" s="1030"/>
      <c r="C71" s="1030"/>
      <c r="D71" s="1030"/>
      <c r="E71" s="1030"/>
      <c r="F71" s="1030"/>
      <c r="G71" s="1030"/>
      <c r="H71" s="1030"/>
      <c r="I71" s="1030"/>
      <c r="J71" s="1030"/>
      <c r="K71" s="1030"/>
    </row>
    <row r="72" spans="1:11" s="904" customFormat="1" ht="72" customHeight="1">
      <c r="A72" s="1094" t="s">
        <v>183</v>
      </c>
      <c r="B72" s="1094" t="s">
        <v>209</v>
      </c>
      <c r="C72" s="886"/>
      <c r="D72" s="886"/>
      <c r="E72" s="886"/>
      <c r="F72" s="887"/>
      <c r="G72" s="1078" t="s">
        <v>440</v>
      </c>
      <c r="H72" s="1080" t="s">
        <v>16</v>
      </c>
      <c r="I72" s="1082" t="s">
        <v>1490</v>
      </c>
      <c r="J72" s="1082" t="s">
        <v>2507</v>
      </c>
      <c r="K72" s="1089" t="s">
        <v>200</v>
      </c>
    </row>
    <row r="73" spans="1:11" s="904" customFormat="1" ht="72" customHeight="1">
      <c r="A73" s="1095"/>
      <c r="B73" s="1095"/>
      <c r="C73" s="888"/>
      <c r="D73" s="888"/>
      <c r="E73" s="888"/>
      <c r="F73" s="889"/>
      <c r="G73" s="1079"/>
      <c r="H73" s="1081"/>
      <c r="I73" s="1082"/>
      <c r="J73" s="1082"/>
      <c r="K73" s="1090"/>
    </row>
    <row r="74" spans="1:11" s="872" customFormat="1" ht="72" customHeight="1">
      <c r="A74" s="890"/>
      <c r="B74" s="1086" t="s">
        <v>1633</v>
      </c>
      <c r="C74" s="1087"/>
      <c r="D74" s="1087"/>
      <c r="E74" s="1087"/>
      <c r="F74" s="1088"/>
      <c r="G74" s="891"/>
      <c r="H74" s="892"/>
      <c r="I74" s="871">
        <f>SUM(I75:I78)</f>
        <v>229105.19999999998</v>
      </c>
      <c r="J74" s="871">
        <f>SUM(J75:J78)</f>
        <v>152736.79999999999</v>
      </c>
      <c r="K74" s="871">
        <f t="shared" ref="K74:K123" si="1">I74+J74</f>
        <v>381842</v>
      </c>
    </row>
    <row r="75" spans="1:11" s="874" customFormat="1" ht="72" customHeight="1">
      <c r="A75" s="893" t="s">
        <v>2275</v>
      </c>
      <c r="B75" s="1083" t="s">
        <v>2212</v>
      </c>
      <c r="C75" s="1084"/>
      <c r="D75" s="1084"/>
      <c r="E75" s="1084"/>
      <c r="F75" s="1085"/>
      <c r="G75" s="894">
        <v>8100</v>
      </c>
      <c r="H75" s="895">
        <v>169711</v>
      </c>
      <c r="I75" s="873">
        <f>I364</f>
        <v>23547</v>
      </c>
      <c r="J75" s="873">
        <f>J364</f>
        <v>15698</v>
      </c>
      <c r="K75" s="873">
        <f t="shared" si="1"/>
        <v>39245</v>
      </c>
    </row>
    <row r="76" spans="1:11" s="874" customFormat="1" ht="72" customHeight="1">
      <c r="A76" s="893" t="s">
        <v>2204</v>
      </c>
      <c r="B76" s="1083" t="s">
        <v>2205</v>
      </c>
      <c r="C76" s="1084"/>
      <c r="D76" s="1084"/>
      <c r="E76" s="1084"/>
      <c r="F76" s="1085"/>
      <c r="G76" s="894">
        <v>8100</v>
      </c>
      <c r="H76" s="895">
        <v>169711</v>
      </c>
      <c r="I76" s="873">
        <f>I366</f>
        <v>196858.19999999998</v>
      </c>
      <c r="J76" s="873">
        <f>J366</f>
        <v>131238.79999999999</v>
      </c>
      <c r="K76" s="873">
        <f t="shared" si="1"/>
        <v>328097</v>
      </c>
    </row>
    <row r="77" spans="1:11" s="874" customFormat="1" ht="72" customHeight="1">
      <c r="A77" s="893" t="s">
        <v>193</v>
      </c>
      <c r="B77" s="1083" t="s">
        <v>1476</v>
      </c>
      <c r="C77" s="1084"/>
      <c r="D77" s="1084"/>
      <c r="E77" s="1084"/>
      <c r="F77" s="1085"/>
      <c r="G77" s="894">
        <v>8100</v>
      </c>
      <c r="H77" s="896" t="s">
        <v>2445</v>
      </c>
      <c r="I77" s="873">
        <f>I377</f>
        <v>2700</v>
      </c>
      <c r="J77" s="873">
        <f>J377</f>
        <v>1800</v>
      </c>
      <c r="K77" s="873">
        <f t="shared" si="1"/>
        <v>4500</v>
      </c>
    </row>
    <row r="78" spans="1:11" s="874" customFormat="1" ht="72" customHeight="1">
      <c r="A78" s="893" t="s">
        <v>244</v>
      </c>
      <c r="B78" s="1083" t="s">
        <v>266</v>
      </c>
      <c r="C78" s="1084"/>
      <c r="D78" s="1084"/>
      <c r="E78" s="1084"/>
      <c r="F78" s="1085"/>
      <c r="G78" s="894">
        <v>8100</v>
      </c>
      <c r="H78" s="895">
        <v>169711</v>
      </c>
      <c r="I78" s="873">
        <f>I379</f>
        <v>6000</v>
      </c>
      <c r="J78" s="873">
        <f>J379</f>
        <v>4000</v>
      </c>
      <c r="K78" s="873">
        <f t="shared" si="1"/>
        <v>10000</v>
      </c>
    </row>
    <row r="79" spans="1:11" s="872" customFormat="1" ht="72" customHeight="1">
      <c r="A79" s="890"/>
      <c r="B79" s="1086" t="s">
        <v>1563</v>
      </c>
      <c r="C79" s="1087"/>
      <c r="D79" s="1087"/>
      <c r="E79" s="1087"/>
      <c r="F79" s="1088"/>
      <c r="G79" s="891"/>
      <c r="H79" s="892"/>
      <c r="I79" s="871">
        <f>SUM(I80:I82)</f>
        <v>99103.8</v>
      </c>
      <c r="J79" s="871">
        <f>SUM(J80:J82)</f>
        <v>66069.2</v>
      </c>
      <c r="K79" s="871">
        <f t="shared" si="1"/>
        <v>165173</v>
      </c>
    </row>
    <row r="80" spans="1:11" s="874" customFormat="1" ht="72" customHeight="1">
      <c r="A80" s="893" t="s">
        <v>2204</v>
      </c>
      <c r="B80" s="1083" t="s">
        <v>2205</v>
      </c>
      <c r="C80" s="1084"/>
      <c r="D80" s="1084"/>
      <c r="E80" s="1084"/>
      <c r="F80" s="1085"/>
      <c r="G80" s="894">
        <v>8100</v>
      </c>
      <c r="H80" s="895">
        <v>169711</v>
      </c>
      <c r="I80" s="873">
        <f>I397</f>
        <v>85878</v>
      </c>
      <c r="J80" s="873">
        <f>J397</f>
        <v>57252</v>
      </c>
      <c r="K80" s="873">
        <f t="shared" si="1"/>
        <v>143130</v>
      </c>
    </row>
    <row r="81" spans="1:11" s="874" customFormat="1" ht="72" customHeight="1">
      <c r="A81" s="893" t="s">
        <v>193</v>
      </c>
      <c r="B81" s="1083" t="s">
        <v>1476</v>
      </c>
      <c r="C81" s="1084"/>
      <c r="D81" s="1084"/>
      <c r="E81" s="1084"/>
      <c r="F81" s="1085"/>
      <c r="G81" s="894">
        <v>8100</v>
      </c>
      <c r="H81" s="896" t="s">
        <v>2445</v>
      </c>
      <c r="I81" s="873">
        <f>I403</f>
        <v>8100</v>
      </c>
      <c r="J81" s="873">
        <f>J403</f>
        <v>5400</v>
      </c>
      <c r="K81" s="873">
        <f t="shared" si="1"/>
        <v>13500</v>
      </c>
    </row>
    <row r="82" spans="1:11" s="874" customFormat="1" ht="72" customHeight="1">
      <c r="A82" s="893" t="s">
        <v>244</v>
      </c>
      <c r="B82" s="1083" t="s">
        <v>266</v>
      </c>
      <c r="C82" s="1084"/>
      <c r="D82" s="1084"/>
      <c r="E82" s="1084"/>
      <c r="F82" s="1085"/>
      <c r="G82" s="894">
        <v>8100</v>
      </c>
      <c r="H82" s="895">
        <v>169711</v>
      </c>
      <c r="I82" s="873">
        <f>I405</f>
        <v>5125.8</v>
      </c>
      <c r="J82" s="873">
        <f>J405</f>
        <v>3417.2000000000003</v>
      </c>
      <c r="K82" s="873">
        <f t="shared" si="1"/>
        <v>8543</v>
      </c>
    </row>
    <row r="83" spans="1:11" s="872" customFormat="1" ht="72" customHeight="1">
      <c r="A83" s="890"/>
      <c r="B83" s="1086" t="s">
        <v>1514</v>
      </c>
      <c r="C83" s="1087"/>
      <c r="D83" s="1087"/>
      <c r="E83" s="1087"/>
      <c r="F83" s="1088"/>
      <c r="G83" s="891"/>
      <c r="H83" s="892"/>
      <c r="I83" s="871">
        <f>SUM(I84:I87)</f>
        <v>458095.80000000005</v>
      </c>
      <c r="J83" s="871">
        <f>SUM(J84:J87)</f>
        <v>305397.2</v>
      </c>
      <c r="K83" s="871">
        <f t="shared" si="1"/>
        <v>763493</v>
      </c>
    </row>
    <row r="84" spans="1:11" s="874" customFormat="1" ht="72" customHeight="1">
      <c r="A84" s="893" t="s">
        <v>2275</v>
      </c>
      <c r="B84" s="1083" t="s">
        <v>2212</v>
      </c>
      <c r="C84" s="1084"/>
      <c r="D84" s="1084"/>
      <c r="E84" s="1084"/>
      <c r="F84" s="1085"/>
      <c r="G84" s="894">
        <v>8100</v>
      </c>
      <c r="H84" s="895">
        <v>169711</v>
      </c>
      <c r="I84" s="873">
        <f>I412</f>
        <v>20635.2</v>
      </c>
      <c r="J84" s="873">
        <f>J412</f>
        <v>13756.800000000001</v>
      </c>
      <c r="K84" s="873">
        <f t="shared" si="1"/>
        <v>34392</v>
      </c>
    </row>
    <row r="85" spans="1:11" s="874" customFormat="1" ht="72" customHeight="1">
      <c r="A85" s="893" t="s">
        <v>2204</v>
      </c>
      <c r="B85" s="1083" t="s">
        <v>2205</v>
      </c>
      <c r="C85" s="1084"/>
      <c r="D85" s="1084"/>
      <c r="E85" s="1084"/>
      <c r="F85" s="1085"/>
      <c r="G85" s="894">
        <v>8100</v>
      </c>
      <c r="H85" s="895">
        <v>169711</v>
      </c>
      <c r="I85" s="873">
        <f>I414</f>
        <v>412860.60000000003</v>
      </c>
      <c r="J85" s="873">
        <f>J414</f>
        <v>275240.40000000002</v>
      </c>
      <c r="K85" s="873">
        <f t="shared" si="1"/>
        <v>688101</v>
      </c>
    </row>
    <row r="86" spans="1:11" s="874" customFormat="1" ht="72" customHeight="1">
      <c r="A86" s="893" t="s">
        <v>193</v>
      </c>
      <c r="B86" s="1083" t="s">
        <v>1476</v>
      </c>
      <c r="C86" s="1084"/>
      <c r="D86" s="1084"/>
      <c r="E86" s="1084"/>
      <c r="F86" s="1085"/>
      <c r="G86" s="894">
        <v>8100</v>
      </c>
      <c r="H86" s="896" t="s">
        <v>2445</v>
      </c>
      <c r="I86" s="873">
        <f>I418</f>
        <v>6600</v>
      </c>
      <c r="J86" s="873">
        <f>J418</f>
        <v>4400</v>
      </c>
      <c r="K86" s="873">
        <f t="shared" si="1"/>
        <v>11000</v>
      </c>
    </row>
    <row r="87" spans="1:11" s="874" customFormat="1" ht="72" customHeight="1">
      <c r="A87" s="893" t="s">
        <v>244</v>
      </c>
      <c r="B87" s="1083" t="s">
        <v>266</v>
      </c>
      <c r="C87" s="1084"/>
      <c r="D87" s="1084"/>
      <c r="E87" s="1084"/>
      <c r="F87" s="1085"/>
      <c r="G87" s="894">
        <v>8100</v>
      </c>
      <c r="H87" s="895">
        <v>169711</v>
      </c>
      <c r="I87" s="873">
        <f>I420</f>
        <v>18000</v>
      </c>
      <c r="J87" s="873">
        <f>J420</f>
        <v>12000</v>
      </c>
      <c r="K87" s="873">
        <f t="shared" si="1"/>
        <v>30000</v>
      </c>
    </row>
    <row r="88" spans="1:11" s="872" customFormat="1" ht="72" customHeight="1">
      <c r="A88" s="890"/>
      <c r="B88" s="1086" t="s">
        <v>1665</v>
      </c>
      <c r="C88" s="1087"/>
      <c r="D88" s="1087"/>
      <c r="E88" s="1087"/>
      <c r="F88" s="1088"/>
      <c r="G88" s="891"/>
      <c r="H88" s="892"/>
      <c r="I88" s="871">
        <f>SUM(I89:I92)</f>
        <v>458956.2</v>
      </c>
      <c r="J88" s="871">
        <f>SUM(J89:J92)</f>
        <v>305970.8</v>
      </c>
      <c r="K88" s="871">
        <f t="shared" si="1"/>
        <v>764927</v>
      </c>
    </row>
    <row r="89" spans="1:11" s="874" customFormat="1" ht="72" customHeight="1">
      <c r="A89" s="893" t="s">
        <v>2275</v>
      </c>
      <c r="B89" s="1083" t="s">
        <v>2212</v>
      </c>
      <c r="C89" s="1084"/>
      <c r="D89" s="1084"/>
      <c r="E89" s="1084"/>
      <c r="F89" s="1085"/>
      <c r="G89" s="894">
        <v>8100</v>
      </c>
      <c r="H89" s="895">
        <v>169711</v>
      </c>
      <c r="I89" s="873">
        <f>I439</f>
        <v>39048.6</v>
      </c>
      <c r="J89" s="873">
        <f>J439</f>
        <v>26032.399999999998</v>
      </c>
      <c r="K89" s="873">
        <f t="shared" si="1"/>
        <v>65081</v>
      </c>
    </row>
    <row r="90" spans="1:11" s="874" customFormat="1" ht="72" customHeight="1">
      <c r="A90" s="893" t="s">
        <v>2204</v>
      </c>
      <c r="B90" s="1083" t="s">
        <v>2205</v>
      </c>
      <c r="C90" s="1084"/>
      <c r="D90" s="1084"/>
      <c r="E90" s="1084"/>
      <c r="F90" s="1085"/>
      <c r="G90" s="894">
        <v>8100</v>
      </c>
      <c r="H90" s="895">
        <v>169711</v>
      </c>
      <c r="I90" s="873">
        <f>I441</f>
        <v>380117.4</v>
      </c>
      <c r="J90" s="873">
        <f>J441</f>
        <v>253411.6</v>
      </c>
      <c r="K90" s="873">
        <f t="shared" si="1"/>
        <v>633529</v>
      </c>
    </row>
    <row r="91" spans="1:11" s="874" customFormat="1" ht="72" customHeight="1">
      <c r="A91" s="893" t="s">
        <v>193</v>
      </c>
      <c r="B91" s="1083" t="s">
        <v>1476</v>
      </c>
      <c r="C91" s="1084"/>
      <c r="D91" s="1084"/>
      <c r="E91" s="1084"/>
      <c r="F91" s="1085"/>
      <c r="G91" s="894">
        <v>8100</v>
      </c>
      <c r="H91" s="896" t="s">
        <v>2445</v>
      </c>
      <c r="I91" s="873">
        <f>I452</f>
        <v>9000</v>
      </c>
      <c r="J91" s="873">
        <f>J452</f>
        <v>6000</v>
      </c>
      <c r="K91" s="873">
        <f t="shared" si="1"/>
        <v>15000</v>
      </c>
    </row>
    <row r="92" spans="1:11" s="874" customFormat="1" ht="72" customHeight="1">
      <c r="A92" s="893" t="s">
        <v>244</v>
      </c>
      <c r="B92" s="1083" t="s">
        <v>266</v>
      </c>
      <c r="C92" s="1084"/>
      <c r="D92" s="1084"/>
      <c r="E92" s="1084"/>
      <c r="F92" s="1085"/>
      <c r="G92" s="894">
        <v>8100</v>
      </c>
      <c r="H92" s="895">
        <v>169711</v>
      </c>
      <c r="I92" s="873">
        <f>I454</f>
        <v>30790.2</v>
      </c>
      <c r="J92" s="873">
        <f>J454</f>
        <v>20526.8</v>
      </c>
      <c r="K92" s="873">
        <f t="shared" si="1"/>
        <v>51317</v>
      </c>
    </row>
    <row r="93" spans="1:11" s="872" customFormat="1" ht="72" customHeight="1">
      <c r="A93" s="890"/>
      <c r="B93" s="1086" t="s">
        <v>1618</v>
      </c>
      <c r="C93" s="1087"/>
      <c r="D93" s="1087"/>
      <c r="E93" s="1087"/>
      <c r="F93" s="1088"/>
      <c r="G93" s="891"/>
      <c r="H93" s="892"/>
      <c r="I93" s="871">
        <f>SUM(I94:I96)</f>
        <v>217060.8</v>
      </c>
      <c r="J93" s="871">
        <f>SUM(J94:J96)</f>
        <v>144707.20000000001</v>
      </c>
      <c r="K93" s="871">
        <f t="shared" si="1"/>
        <v>361768</v>
      </c>
    </row>
    <row r="94" spans="1:11" s="874" customFormat="1" ht="72" customHeight="1">
      <c r="A94" s="893" t="s">
        <v>2204</v>
      </c>
      <c r="B94" s="1083" t="s">
        <v>2205</v>
      </c>
      <c r="C94" s="1084"/>
      <c r="D94" s="1084"/>
      <c r="E94" s="1084"/>
      <c r="F94" s="1085"/>
      <c r="G94" s="894">
        <v>8100</v>
      </c>
      <c r="H94" s="895">
        <v>169711</v>
      </c>
      <c r="I94" s="873">
        <f>I482</f>
        <v>210460.79999999999</v>
      </c>
      <c r="J94" s="873">
        <f>J482</f>
        <v>140307.20000000001</v>
      </c>
      <c r="K94" s="873">
        <f t="shared" si="1"/>
        <v>350768</v>
      </c>
    </row>
    <row r="95" spans="1:11" s="874" customFormat="1" ht="72" customHeight="1">
      <c r="A95" s="893" t="s">
        <v>193</v>
      </c>
      <c r="B95" s="1083" t="s">
        <v>1476</v>
      </c>
      <c r="C95" s="1084"/>
      <c r="D95" s="1084"/>
      <c r="E95" s="1084"/>
      <c r="F95" s="1085"/>
      <c r="G95" s="894">
        <v>8100</v>
      </c>
      <c r="H95" s="896" t="s">
        <v>2445</v>
      </c>
      <c r="I95" s="873">
        <f>I488</f>
        <v>3600</v>
      </c>
      <c r="J95" s="873">
        <f>J488</f>
        <v>2400</v>
      </c>
      <c r="K95" s="873">
        <f t="shared" si="1"/>
        <v>6000</v>
      </c>
    </row>
    <row r="96" spans="1:11" s="874" customFormat="1" ht="72" customHeight="1">
      <c r="A96" s="893" t="s">
        <v>244</v>
      </c>
      <c r="B96" s="1083" t="s">
        <v>266</v>
      </c>
      <c r="C96" s="1084"/>
      <c r="D96" s="1084"/>
      <c r="E96" s="1084"/>
      <c r="F96" s="1085"/>
      <c r="G96" s="894">
        <v>8100</v>
      </c>
      <c r="H96" s="895">
        <v>169711</v>
      </c>
      <c r="I96" s="873">
        <f>I490</f>
        <v>3000</v>
      </c>
      <c r="J96" s="873">
        <f>J490</f>
        <v>2000</v>
      </c>
      <c r="K96" s="873">
        <f t="shared" si="1"/>
        <v>5000</v>
      </c>
    </row>
    <row r="97" spans="1:11" s="872" customFormat="1" ht="72" customHeight="1">
      <c r="A97" s="890"/>
      <c r="B97" s="1086" t="s">
        <v>1530</v>
      </c>
      <c r="C97" s="1087"/>
      <c r="D97" s="1087"/>
      <c r="E97" s="1087"/>
      <c r="F97" s="1088"/>
      <c r="G97" s="891"/>
      <c r="H97" s="892"/>
      <c r="I97" s="871">
        <f>SUM(I98:I99)</f>
        <v>567863.4</v>
      </c>
      <c r="J97" s="871">
        <f>SUM(J98:J99)</f>
        <v>378575.6</v>
      </c>
      <c r="K97" s="871">
        <f t="shared" si="1"/>
        <v>946439</v>
      </c>
    </row>
    <row r="98" spans="1:11" s="874" customFormat="1" ht="72" customHeight="1">
      <c r="A98" s="893" t="s">
        <v>2275</v>
      </c>
      <c r="B98" s="1083" t="s">
        <v>2212</v>
      </c>
      <c r="C98" s="1084"/>
      <c r="D98" s="1084"/>
      <c r="E98" s="1084"/>
      <c r="F98" s="1085"/>
      <c r="G98" s="894">
        <v>8100</v>
      </c>
      <c r="H98" s="895">
        <v>169711</v>
      </c>
      <c r="I98" s="873">
        <f>I496</f>
        <v>72000</v>
      </c>
      <c r="J98" s="873">
        <f>J496</f>
        <v>48000</v>
      </c>
      <c r="K98" s="873">
        <f t="shared" si="1"/>
        <v>120000</v>
      </c>
    </row>
    <row r="99" spans="1:11" s="874" customFormat="1" ht="72" customHeight="1">
      <c r="A99" s="893" t="s">
        <v>2204</v>
      </c>
      <c r="B99" s="1083" t="s">
        <v>2205</v>
      </c>
      <c r="C99" s="1084"/>
      <c r="D99" s="1084"/>
      <c r="E99" s="1084"/>
      <c r="F99" s="1085"/>
      <c r="G99" s="894">
        <v>8100</v>
      </c>
      <c r="H99" s="895">
        <v>169711</v>
      </c>
      <c r="I99" s="873">
        <f>I498</f>
        <v>495863.4</v>
      </c>
      <c r="J99" s="873">
        <f>J498</f>
        <v>330575.59999999998</v>
      </c>
      <c r="K99" s="873">
        <f t="shared" si="1"/>
        <v>826439</v>
      </c>
    </row>
    <row r="100" spans="1:11" s="872" customFormat="1" ht="72" customHeight="1">
      <c r="A100" s="890"/>
      <c r="B100" s="1086" t="s">
        <v>1571</v>
      </c>
      <c r="C100" s="1087"/>
      <c r="D100" s="1087"/>
      <c r="E100" s="1087"/>
      <c r="F100" s="1088"/>
      <c r="G100" s="891"/>
      <c r="H100" s="892"/>
      <c r="I100" s="871">
        <f>SUM(I101:I104)</f>
        <v>312034.8</v>
      </c>
      <c r="J100" s="871">
        <f>SUM(J101:J104)</f>
        <v>208023.19999999998</v>
      </c>
      <c r="K100" s="871">
        <f t="shared" si="1"/>
        <v>520058</v>
      </c>
    </row>
    <row r="101" spans="1:11" s="874" customFormat="1" ht="72" customHeight="1">
      <c r="A101" s="893" t="s">
        <v>2275</v>
      </c>
      <c r="B101" s="1083" t="s">
        <v>2212</v>
      </c>
      <c r="C101" s="1084"/>
      <c r="D101" s="1084"/>
      <c r="E101" s="1084"/>
      <c r="F101" s="1085"/>
      <c r="G101" s="894">
        <v>8100</v>
      </c>
      <c r="H101" s="895">
        <v>169711</v>
      </c>
      <c r="I101" s="873">
        <f>I517</f>
        <v>41682</v>
      </c>
      <c r="J101" s="873">
        <f>J517</f>
        <v>27788</v>
      </c>
      <c r="K101" s="873">
        <f t="shared" si="1"/>
        <v>69470</v>
      </c>
    </row>
    <row r="102" spans="1:11" s="874" customFormat="1" ht="72" customHeight="1">
      <c r="A102" s="893" t="s">
        <v>2204</v>
      </c>
      <c r="B102" s="1083" t="s">
        <v>2205</v>
      </c>
      <c r="C102" s="1084"/>
      <c r="D102" s="1084"/>
      <c r="E102" s="1084"/>
      <c r="F102" s="1085"/>
      <c r="G102" s="894">
        <v>8100</v>
      </c>
      <c r="H102" s="895">
        <v>169711</v>
      </c>
      <c r="I102" s="873">
        <f>I519</f>
        <v>238125.59999999998</v>
      </c>
      <c r="J102" s="873">
        <f>J519</f>
        <v>158750.39999999999</v>
      </c>
      <c r="K102" s="873">
        <f t="shared" si="1"/>
        <v>396876</v>
      </c>
    </row>
    <row r="103" spans="1:11" s="874" customFormat="1" ht="72" customHeight="1">
      <c r="A103" s="893" t="s">
        <v>193</v>
      </c>
      <c r="B103" s="1083" t="s">
        <v>1476</v>
      </c>
      <c r="C103" s="1084"/>
      <c r="D103" s="1084"/>
      <c r="E103" s="1084"/>
      <c r="F103" s="1085"/>
      <c r="G103" s="894">
        <v>8100</v>
      </c>
      <c r="H103" s="896" t="s">
        <v>2445</v>
      </c>
      <c r="I103" s="873">
        <f>I530</f>
        <v>9600</v>
      </c>
      <c r="J103" s="873">
        <f>J530</f>
        <v>6400</v>
      </c>
      <c r="K103" s="873">
        <f t="shared" si="1"/>
        <v>16000</v>
      </c>
    </row>
    <row r="104" spans="1:11" s="874" customFormat="1" ht="72" customHeight="1">
      <c r="A104" s="893" t="s">
        <v>244</v>
      </c>
      <c r="B104" s="1083" t="s">
        <v>266</v>
      </c>
      <c r="C104" s="1084"/>
      <c r="D104" s="1084"/>
      <c r="E104" s="1084"/>
      <c r="F104" s="1085"/>
      <c r="G104" s="894">
        <v>8100</v>
      </c>
      <c r="H104" s="895">
        <v>169711</v>
      </c>
      <c r="I104" s="873">
        <f>I532</f>
        <v>22627.200000000001</v>
      </c>
      <c r="J104" s="873">
        <f>J532</f>
        <v>15084.8</v>
      </c>
      <c r="K104" s="873">
        <f t="shared" si="1"/>
        <v>37712</v>
      </c>
    </row>
    <row r="105" spans="1:11" s="872" customFormat="1" ht="72" customHeight="1">
      <c r="A105" s="890"/>
      <c r="B105" s="1086" t="s">
        <v>1564</v>
      </c>
      <c r="C105" s="1087"/>
      <c r="D105" s="1087"/>
      <c r="E105" s="1087"/>
      <c r="F105" s="1088"/>
      <c r="G105" s="891"/>
      <c r="H105" s="892"/>
      <c r="I105" s="871">
        <f>SUM(I106:I107)</f>
        <v>260177.4</v>
      </c>
      <c r="J105" s="871">
        <f>SUM(J106:J107)</f>
        <v>173451.6</v>
      </c>
      <c r="K105" s="871">
        <f t="shared" si="1"/>
        <v>433629</v>
      </c>
    </row>
    <row r="106" spans="1:11" s="874" customFormat="1" ht="72" customHeight="1">
      <c r="A106" s="893" t="s">
        <v>2204</v>
      </c>
      <c r="B106" s="1083" t="s">
        <v>2205</v>
      </c>
      <c r="C106" s="1084"/>
      <c r="D106" s="1084"/>
      <c r="E106" s="1084"/>
      <c r="F106" s="1085"/>
      <c r="G106" s="894">
        <v>8100</v>
      </c>
      <c r="H106" s="895">
        <v>169711</v>
      </c>
      <c r="I106" s="873">
        <f>I560</f>
        <v>236177.4</v>
      </c>
      <c r="J106" s="873">
        <f>J560</f>
        <v>157451.6</v>
      </c>
      <c r="K106" s="873">
        <f t="shared" si="1"/>
        <v>393629</v>
      </c>
    </row>
    <row r="107" spans="1:11" s="874" customFormat="1" ht="72" customHeight="1">
      <c r="A107" s="893" t="s">
        <v>244</v>
      </c>
      <c r="B107" s="1083" t="s">
        <v>266</v>
      </c>
      <c r="C107" s="1084"/>
      <c r="D107" s="1084"/>
      <c r="E107" s="1084"/>
      <c r="F107" s="1085"/>
      <c r="G107" s="894">
        <v>8100</v>
      </c>
      <c r="H107" s="895">
        <v>169711</v>
      </c>
      <c r="I107" s="873">
        <f>I564</f>
        <v>24000</v>
      </c>
      <c r="J107" s="873">
        <f>J564</f>
        <v>16000</v>
      </c>
      <c r="K107" s="873">
        <f t="shared" si="1"/>
        <v>40000</v>
      </c>
    </row>
    <row r="108" spans="1:11" s="872" customFormat="1" ht="72" customHeight="1">
      <c r="A108" s="890"/>
      <c r="B108" s="1086" t="s">
        <v>1930</v>
      </c>
      <c r="C108" s="1087"/>
      <c r="D108" s="1087"/>
      <c r="E108" s="1087"/>
      <c r="F108" s="1088"/>
      <c r="G108" s="891"/>
      <c r="H108" s="892"/>
      <c r="I108" s="871">
        <f>SUM(I109:I110)</f>
        <v>68421.600000000006</v>
      </c>
      <c r="J108" s="871">
        <f>SUM(J109:J110)</f>
        <v>45614.400000000001</v>
      </c>
      <c r="K108" s="871">
        <f t="shared" si="1"/>
        <v>114036</v>
      </c>
    </row>
    <row r="109" spans="1:11" s="874" customFormat="1" ht="72" customHeight="1">
      <c r="A109" s="893" t="s">
        <v>2204</v>
      </c>
      <c r="B109" s="1083" t="s">
        <v>2205</v>
      </c>
      <c r="C109" s="1084"/>
      <c r="D109" s="1084"/>
      <c r="E109" s="1084"/>
      <c r="F109" s="1085"/>
      <c r="G109" s="894">
        <v>8100</v>
      </c>
      <c r="H109" s="895">
        <v>169711</v>
      </c>
      <c r="I109" s="873">
        <f>I778</f>
        <v>51321.599999999999</v>
      </c>
      <c r="J109" s="873">
        <f>J778</f>
        <v>34214.400000000001</v>
      </c>
      <c r="K109" s="873">
        <f t="shared" si="1"/>
        <v>85536</v>
      </c>
    </row>
    <row r="110" spans="1:11" s="874" customFormat="1" ht="72" customHeight="1">
      <c r="A110" s="893" t="s">
        <v>244</v>
      </c>
      <c r="B110" s="1083" t="s">
        <v>266</v>
      </c>
      <c r="C110" s="1084"/>
      <c r="D110" s="1084"/>
      <c r="E110" s="1084"/>
      <c r="F110" s="1085"/>
      <c r="G110" s="894">
        <v>8100</v>
      </c>
      <c r="H110" s="895">
        <v>169711</v>
      </c>
      <c r="I110" s="873">
        <f>I783</f>
        <v>17100</v>
      </c>
      <c r="J110" s="873">
        <f>J783</f>
        <v>11400</v>
      </c>
      <c r="K110" s="873">
        <f t="shared" si="1"/>
        <v>28500</v>
      </c>
    </row>
    <row r="111" spans="1:11" s="872" customFormat="1" ht="72" customHeight="1">
      <c r="A111" s="890"/>
      <c r="B111" s="1086" t="s">
        <v>1948</v>
      </c>
      <c r="C111" s="1087"/>
      <c r="D111" s="1087"/>
      <c r="E111" s="1087"/>
      <c r="F111" s="1088"/>
      <c r="G111" s="891"/>
      <c r="H111" s="892"/>
      <c r="I111" s="871">
        <f>SUM(I112:I113)</f>
        <v>61584.000000000007</v>
      </c>
      <c r="J111" s="871">
        <f>SUM(J112:J113)</f>
        <v>41056</v>
      </c>
      <c r="K111" s="871">
        <f t="shared" si="1"/>
        <v>102640</v>
      </c>
    </row>
    <row r="112" spans="1:11" s="874" customFormat="1" ht="72" customHeight="1">
      <c r="A112" s="893" t="s">
        <v>2204</v>
      </c>
      <c r="B112" s="1083" t="s">
        <v>2205</v>
      </c>
      <c r="C112" s="1084"/>
      <c r="D112" s="1084"/>
      <c r="E112" s="1084"/>
      <c r="F112" s="1085"/>
      <c r="G112" s="894">
        <v>8100</v>
      </c>
      <c r="H112" s="895">
        <v>169711</v>
      </c>
      <c r="I112" s="873">
        <f>I790</f>
        <v>55449.600000000006</v>
      </c>
      <c r="J112" s="873">
        <f>J790</f>
        <v>36966.400000000001</v>
      </c>
      <c r="K112" s="873">
        <f t="shared" si="1"/>
        <v>92416</v>
      </c>
    </row>
    <row r="113" spans="1:11" s="874" customFormat="1" ht="72" customHeight="1">
      <c r="A113" s="893" t="s">
        <v>244</v>
      </c>
      <c r="B113" s="1083" t="s">
        <v>266</v>
      </c>
      <c r="C113" s="1084"/>
      <c r="D113" s="1084"/>
      <c r="E113" s="1084"/>
      <c r="F113" s="1085"/>
      <c r="G113" s="894">
        <v>8100</v>
      </c>
      <c r="H113" s="895">
        <v>169711</v>
      </c>
      <c r="I113" s="873">
        <f>I794</f>
        <v>6134.4</v>
      </c>
      <c r="J113" s="873">
        <f>J794</f>
        <v>4089.6</v>
      </c>
      <c r="K113" s="873">
        <f t="shared" si="1"/>
        <v>10224</v>
      </c>
    </row>
    <row r="114" spans="1:11" s="872" customFormat="1" ht="72" customHeight="1">
      <c r="A114" s="890"/>
      <c r="B114" s="1086" t="s">
        <v>1710</v>
      </c>
      <c r="C114" s="1087"/>
      <c r="D114" s="1087"/>
      <c r="E114" s="1087"/>
      <c r="F114" s="1088"/>
      <c r="G114" s="891"/>
      <c r="H114" s="892"/>
      <c r="I114" s="871">
        <f>SUM(I115:I115)</f>
        <v>167322.6</v>
      </c>
      <c r="J114" s="871">
        <f>SUM(J115:J115)</f>
        <v>111548.4</v>
      </c>
      <c r="K114" s="871">
        <f t="shared" si="1"/>
        <v>278871</v>
      </c>
    </row>
    <row r="115" spans="1:11" s="874" customFormat="1" ht="72" customHeight="1">
      <c r="A115" s="893" t="s">
        <v>2204</v>
      </c>
      <c r="B115" s="1083" t="s">
        <v>2205</v>
      </c>
      <c r="C115" s="1084"/>
      <c r="D115" s="1084"/>
      <c r="E115" s="1084"/>
      <c r="F115" s="1085"/>
      <c r="G115" s="894">
        <v>8100</v>
      </c>
      <c r="H115" s="895">
        <v>169711</v>
      </c>
      <c r="I115" s="873">
        <f>I570</f>
        <v>167322.6</v>
      </c>
      <c r="J115" s="873">
        <f>J570</f>
        <v>111548.4</v>
      </c>
      <c r="K115" s="873">
        <f t="shared" si="1"/>
        <v>278871</v>
      </c>
    </row>
    <row r="116" spans="1:11" s="872" customFormat="1" ht="72" customHeight="1">
      <c r="A116" s="890"/>
      <c r="B116" s="1086" t="s">
        <v>1879</v>
      </c>
      <c r="C116" s="1087"/>
      <c r="D116" s="1087"/>
      <c r="E116" s="1087"/>
      <c r="F116" s="1088"/>
      <c r="G116" s="891"/>
      <c r="H116" s="892"/>
      <c r="I116" s="871">
        <f>SUM(I117:I118)</f>
        <v>79675.199999999997</v>
      </c>
      <c r="J116" s="871">
        <f>SUM(J117:J118)</f>
        <v>53116.800000000003</v>
      </c>
      <c r="K116" s="871">
        <f t="shared" si="1"/>
        <v>132792</v>
      </c>
    </row>
    <row r="117" spans="1:11" s="874" customFormat="1" ht="72" customHeight="1">
      <c r="A117" s="893" t="s">
        <v>2204</v>
      </c>
      <c r="B117" s="1083" t="s">
        <v>2205</v>
      </c>
      <c r="C117" s="1084"/>
      <c r="D117" s="1084"/>
      <c r="E117" s="1084"/>
      <c r="F117" s="1085"/>
      <c r="G117" s="894">
        <v>8100</v>
      </c>
      <c r="H117" s="895">
        <v>169711</v>
      </c>
      <c r="I117" s="873">
        <f>I800</f>
        <v>77275.199999999997</v>
      </c>
      <c r="J117" s="873">
        <f>J800</f>
        <v>51516.800000000003</v>
      </c>
      <c r="K117" s="873">
        <f t="shared" si="1"/>
        <v>128792</v>
      </c>
    </row>
    <row r="118" spans="1:11" s="874" customFormat="1" ht="72" customHeight="1">
      <c r="A118" s="893" t="s">
        <v>244</v>
      </c>
      <c r="B118" s="1083" t="s">
        <v>266</v>
      </c>
      <c r="C118" s="1084"/>
      <c r="D118" s="1084"/>
      <c r="E118" s="1084"/>
      <c r="F118" s="1085"/>
      <c r="G118" s="894">
        <v>8100</v>
      </c>
      <c r="H118" s="895">
        <v>169711</v>
      </c>
      <c r="I118" s="873">
        <f>I807</f>
        <v>2400</v>
      </c>
      <c r="J118" s="873">
        <f>J807</f>
        <v>1600</v>
      </c>
      <c r="K118" s="873">
        <f t="shared" si="1"/>
        <v>4000</v>
      </c>
    </row>
    <row r="119" spans="1:11" s="872" customFormat="1" ht="72" customHeight="1">
      <c r="A119" s="890"/>
      <c r="B119" s="1086" t="s">
        <v>1704</v>
      </c>
      <c r="C119" s="1087"/>
      <c r="D119" s="1087"/>
      <c r="E119" s="1087"/>
      <c r="F119" s="1088"/>
      <c r="G119" s="891"/>
      <c r="H119" s="892"/>
      <c r="I119" s="871">
        <f>SUM(I120:I123)</f>
        <v>777544.2</v>
      </c>
      <c r="J119" s="871">
        <f>SUM(J120:J123)</f>
        <v>439528.8</v>
      </c>
      <c r="K119" s="871">
        <f t="shared" si="1"/>
        <v>1217073</v>
      </c>
    </row>
    <row r="120" spans="1:11" s="874" customFormat="1" ht="72" customHeight="1">
      <c r="A120" s="893" t="s">
        <v>2204</v>
      </c>
      <c r="B120" s="1083" t="s">
        <v>2205</v>
      </c>
      <c r="C120" s="1084"/>
      <c r="D120" s="1084"/>
      <c r="E120" s="1084"/>
      <c r="F120" s="1085"/>
      <c r="G120" s="894">
        <v>8100</v>
      </c>
      <c r="H120" s="895">
        <v>169711</v>
      </c>
      <c r="I120" s="873">
        <f>I221</f>
        <v>36306.6</v>
      </c>
      <c r="J120" s="873">
        <f>J221</f>
        <v>24204.400000000001</v>
      </c>
      <c r="K120" s="873">
        <f t="shared" si="1"/>
        <v>60511</v>
      </c>
    </row>
    <row r="121" spans="1:11" s="874" customFormat="1" ht="72" customHeight="1">
      <c r="A121" s="893" t="s">
        <v>196</v>
      </c>
      <c r="B121" s="1083" t="s">
        <v>2206</v>
      </c>
      <c r="C121" s="1084"/>
      <c r="D121" s="1084"/>
      <c r="E121" s="1084"/>
      <c r="F121" s="1085"/>
      <c r="G121" s="894">
        <v>8100</v>
      </c>
      <c r="H121" s="895">
        <v>169714</v>
      </c>
      <c r="I121" s="873">
        <f>I223-I122</f>
        <v>692098.4</v>
      </c>
      <c r="J121" s="873">
        <f>J223-J122</f>
        <v>401061.6</v>
      </c>
      <c r="K121" s="873">
        <f t="shared" si="1"/>
        <v>1093160</v>
      </c>
    </row>
    <row r="122" spans="1:11" s="874" customFormat="1" ht="72" customHeight="1">
      <c r="A122" s="893"/>
      <c r="B122" s="1083" t="s">
        <v>2463</v>
      </c>
      <c r="C122" s="1084"/>
      <c r="D122" s="1084"/>
      <c r="E122" s="1084"/>
      <c r="F122" s="1085"/>
      <c r="G122" s="894">
        <v>8100</v>
      </c>
      <c r="H122" s="895">
        <v>169714</v>
      </c>
      <c r="I122" s="873">
        <f>I228+I229</f>
        <v>27745</v>
      </c>
      <c r="J122" s="873">
        <f>J228+J229</f>
        <v>0</v>
      </c>
      <c r="K122" s="873">
        <f>I122+J122</f>
        <v>27745</v>
      </c>
    </row>
    <row r="123" spans="1:11" s="874" customFormat="1" ht="72" customHeight="1">
      <c r="A123" s="893" t="s">
        <v>244</v>
      </c>
      <c r="B123" s="1083" t="s">
        <v>266</v>
      </c>
      <c r="C123" s="1084"/>
      <c r="D123" s="1084"/>
      <c r="E123" s="1084"/>
      <c r="F123" s="1085"/>
      <c r="G123" s="894">
        <v>8100</v>
      </c>
      <c r="H123" s="895">
        <v>169711</v>
      </c>
      <c r="I123" s="873">
        <f>I230</f>
        <v>21394.2</v>
      </c>
      <c r="J123" s="873">
        <f>J230</f>
        <v>14262.8</v>
      </c>
      <c r="K123" s="873">
        <f t="shared" si="1"/>
        <v>35657</v>
      </c>
    </row>
    <row r="124" spans="1:11" s="548" customFormat="1" ht="42" customHeight="1">
      <c r="A124" s="761"/>
      <c r="B124" s="760"/>
      <c r="C124" s="760"/>
      <c r="D124" s="760"/>
      <c r="E124" s="760"/>
      <c r="F124" s="760"/>
      <c r="G124" s="762"/>
      <c r="H124" s="762"/>
      <c r="I124" s="763"/>
      <c r="J124" s="763"/>
      <c r="K124" s="763"/>
    </row>
    <row r="125" spans="1:11" s="548" customFormat="1" ht="42" customHeight="1">
      <c r="A125" s="761"/>
      <c r="B125" s="760"/>
      <c r="C125" s="760"/>
      <c r="D125" s="760"/>
      <c r="E125" s="760"/>
      <c r="F125" s="760"/>
      <c r="G125" s="762"/>
      <c r="H125" s="762"/>
      <c r="I125" s="763"/>
      <c r="J125" s="763"/>
      <c r="K125" s="763"/>
    </row>
    <row r="126" spans="1:11" ht="45">
      <c r="A126" s="979" t="s">
        <v>51</v>
      </c>
      <c r="B126" s="979"/>
      <c r="C126" s="979"/>
      <c r="D126" s="979"/>
      <c r="E126" s="979"/>
      <c r="F126" s="979"/>
      <c r="G126" s="979"/>
      <c r="H126" s="979"/>
      <c r="I126" s="979"/>
      <c r="J126" s="979"/>
      <c r="K126" s="979"/>
    </row>
    <row r="127" spans="1:11" ht="45">
      <c r="A127" s="979" t="s">
        <v>52</v>
      </c>
      <c r="B127" s="979"/>
      <c r="C127" s="979"/>
      <c r="D127" s="979"/>
      <c r="E127" s="979"/>
      <c r="F127" s="979"/>
      <c r="G127" s="979"/>
      <c r="H127" s="979"/>
      <c r="I127" s="979"/>
      <c r="J127" s="979"/>
      <c r="K127" s="979"/>
    </row>
    <row r="128" spans="1:11" ht="45">
      <c r="A128" s="1040" t="s">
        <v>50</v>
      </c>
      <c r="B128" s="1040"/>
      <c r="C128" s="1040"/>
      <c r="D128" s="1040"/>
      <c r="E128" s="1040"/>
      <c r="F128" s="1040"/>
      <c r="G128" s="1040"/>
      <c r="H128" s="1040"/>
      <c r="I128" s="1040"/>
      <c r="J128" s="1040"/>
      <c r="K128" s="1040"/>
    </row>
    <row r="129" spans="1:11" ht="44.25">
      <c r="A129" s="736"/>
      <c r="B129" s="736"/>
      <c r="C129" s="736"/>
      <c r="D129" s="736"/>
      <c r="E129" s="736"/>
      <c r="F129" s="736"/>
      <c r="G129" s="838"/>
      <c r="H129" s="838"/>
      <c r="I129" s="838"/>
      <c r="J129" s="838"/>
      <c r="K129" s="838"/>
    </row>
    <row r="130" spans="1:11" ht="45">
      <c r="A130" s="979" t="s">
        <v>2214</v>
      </c>
      <c r="B130" s="979"/>
      <c r="C130" s="979"/>
      <c r="D130" s="979"/>
      <c r="E130" s="979"/>
      <c r="F130" s="979"/>
      <c r="G130" s="979"/>
      <c r="H130" s="979"/>
      <c r="I130" s="979"/>
      <c r="J130" s="979"/>
      <c r="K130" s="979"/>
    </row>
    <row r="131" spans="1:11" s="620" customFormat="1" ht="33">
      <c r="A131" s="65"/>
      <c r="B131" s="65"/>
      <c r="C131" s="65"/>
      <c r="D131" s="65"/>
      <c r="E131" s="65"/>
      <c r="F131" s="65"/>
      <c r="G131" s="68"/>
      <c r="H131" s="68"/>
      <c r="I131" s="68"/>
      <c r="J131" s="68"/>
      <c r="K131" s="68"/>
    </row>
    <row r="132" spans="1:11" ht="20.100000000000001" customHeight="1">
      <c r="A132" s="65"/>
      <c r="B132" s="65"/>
      <c r="C132" s="65"/>
      <c r="D132" s="65"/>
      <c r="E132" s="65"/>
      <c r="F132" s="65"/>
      <c r="G132" s="68"/>
      <c r="H132" s="68"/>
      <c r="I132" s="68"/>
      <c r="J132" s="68"/>
      <c r="K132" s="68"/>
    </row>
    <row r="133" spans="1:11" ht="20.100000000000001" customHeight="1">
      <c r="A133" s="979"/>
      <c r="B133" s="979"/>
      <c r="C133" s="979"/>
      <c r="D133" s="979"/>
      <c r="E133" s="979"/>
      <c r="F133" s="979"/>
      <c r="G133" s="979"/>
      <c r="H133" s="979"/>
      <c r="I133" s="979"/>
      <c r="J133" s="979"/>
      <c r="K133" s="979"/>
    </row>
    <row r="134" spans="1:11" ht="45.75" customHeight="1">
      <c r="A134" s="1029" t="s">
        <v>2492</v>
      </c>
      <c r="B134" s="1030"/>
      <c r="C134" s="1030"/>
      <c r="D134" s="1030"/>
      <c r="E134" s="1030"/>
      <c r="F134" s="1030"/>
      <c r="G134" s="1030"/>
      <c r="H134" s="1030"/>
      <c r="I134" s="1030"/>
      <c r="J134" s="1030"/>
      <c r="K134" s="1030"/>
    </row>
    <row r="135" spans="1:11" s="904" customFormat="1" ht="76.5" customHeight="1">
      <c r="A135" s="1094" t="s">
        <v>183</v>
      </c>
      <c r="B135" s="1094" t="s">
        <v>209</v>
      </c>
      <c r="C135" s="886"/>
      <c r="D135" s="886"/>
      <c r="E135" s="886"/>
      <c r="F135" s="887"/>
      <c r="G135" s="1078" t="s">
        <v>440</v>
      </c>
      <c r="H135" s="1080" t="s">
        <v>16</v>
      </c>
      <c r="I135" s="1082" t="s">
        <v>1490</v>
      </c>
      <c r="J135" s="1082" t="s">
        <v>2507</v>
      </c>
      <c r="K135" s="1089" t="s">
        <v>200</v>
      </c>
    </row>
    <row r="136" spans="1:11" s="904" customFormat="1" ht="76.5" customHeight="1">
      <c r="A136" s="1095"/>
      <c r="B136" s="1095"/>
      <c r="C136" s="888"/>
      <c r="D136" s="888"/>
      <c r="E136" s="888"/>
      <c r="F136" s="889"/>
      <c r="G136" s="1079"/>
      <c r="H136" s="1081"/>
      <c r="I136" s="1082"/>
      <c r="J136" s="1082"/>
      <c r="K136" s="1090"/>
    </row>
    <row r="137" spans="1:11" s="872" customFormat="1" ht="76.5" customHeight="1">
      <c r="A137" s="890"/>
      <c r="B137" s="1086" t="s">
        <v>1844</v>
      </c>
      <c r="C137" s="1087"/>
      <c r="D137" s="1087"/>
      <c r="E137" s="1087"/>
      <c r="F137" s="1088"/>
      <c r="G137" s="891"/>
      <c r="H137" s="892"/>
      <c r="I137" s="871">
        <f>SUM(I138:I141)</f>
        <v>113415.6</v>
      </c>
      <c r="J137" s="871">
        <f>SUM(J138:J141)</f>
        <v>75610.399999999994</v>
      </c>
      <c r="K137" s="871">
        <f t="shared" ref="K137:K204" si="2">I137+J137</f>
        <v>189026</v>
      </c>
    </row>
    <row r="138" spans="1:11" s="874" customFormat="1" ht="76.5" customHeight="1">
      <c r="A138" s="893" t="s">
        <v>2275</v>
      </c>
      <c r="B138" s="1083" t="s">
        <v>2212</v>
      </c>
      <c r="C138" s="1084"/>
      <c r="D138" s="1084"/>
      <c r="E138" s="1084"/>
      <c r="F138" s="1085"/>
      <c r="G138" s="894">
        <v>8100</v>
      </c>
      <c r="H138" s="895">
        <v>169711</v>
      </c>
      <c r="I138" s="873">
        <f>I603</f>
        <v>54003</v>
      </c>
      <c r="J138" s="873">
        <f>J603</f>
        <v>36002</v>
      </c>
      <c r="K138" s="873">
        <f t="shared" si="2"/>
        <v>90005</v>
      </c>
    </row>
    <row r="139" spans="1:11" s="874" customFormat="1" ht="76.5" customHeight="1">
      <c r="A139" s="893" t="s">
        <v>2204</v>
      </c>
      <c r="B139" s="1083" t="s">
        <v>2205</v>
      </c>
      <c r="C139" s="1084"/>
      <c r="D139" s="1084"/>
      <c r="E139" s="1084"/>
      <c r="F139" s="1085"/>
      <c r="G139" s="894">
        <v>8100</v>
      </c>
      <c r="H139" s="895">
        <v>169711</v>
      </c>
      <c r="I139" s="873">
        <f>I608</f>
        <v>48394.8</v>
      </c>
      <c r="J139" s="873">
        <f>J608</f>
        <v>32263.199999999997</v>
      </c>
      <c r="K139" s="873">
        <f t="shared" si="2"/>
        <v>80658</v>
      </c>
    </row>
    <row r="140" spans="1:11" s="874" customFormat="1" ht="76.5" customHeight="1">
      <c r="A140" s="893" t="s">
        <v>193</v>
      </c>
      <c r="B140" s="1083" t="s">
        <v>1476</v>
      </c>
      <c r="C140" s="1084"/>
      <c r="D140" s="1084"/>
      <c r="E140" s="1084"/>
      <c r="F140" s="1085"/>
      <c r="G140" s="894">
        <v>8100</v>
      </c>
      <c r="H140" s="896" t="s">
        <v>2445</v>
      </c>
      <c r="I140" s="873">
        <f>I617</f>
        <v>3900</v>
      </c>
      <c r="J140" s="873">
        <f>J617</f>
        <v>2600</v>
      </c>
      <c r="K140" s="873">
        <f t="shared" si="2"/>
        <v>6500</v>
      </c>
    </row>
    <row r="141" spans="1:11" s="874" customFormat="1" ht="76.5" customHeight="1">
      <c r="A141" s="893" t="s">
        <v>244</v>
      </c>
      <c r="B141" s="1083" t="s">
        <v>266</v>
      </c>
      <c r="C141" s="1084"/>
      <c r="D141" s="1084"/>
      <c r="E141" s="1084"/>
      <c r="F141" s="1085"/>
      <c r="G141" s="894">
        <v>8100</v>
      </c>
      <c r="H141" s="895">
        <v>169711</v>
      </c>
      <c r="I141" s="873">
        <f>I619</f>
        <v>7117.7999999999993</v>
      </c>
      <c r="J141" s="873">
        <f>J619</f>
        <v>4745.2</v>
      </c>
      <c r="K141" s="873">
        <f t="shared" si="2"/>
        <v>11863</v>
      </c>
    </row>
    <row r="142" spans="1:11" s="872" customFormat="1" ht="76.5" customHeight="1">
      <c r="A142" s="890"/>
      <c r="B142" s="1086" t="s">
        <v>2047</v>
      </c>
      <c r="C142" s="1087"/>
      <c r="D142" s="1087"/>
      <c r="E142" s="1087"/>
      <c r="F142" s="1088"/>
      <c r="G142" s="891"/>
      <c r="H142" s="892"/>
      <c r="I142" s="871">
        <f>SUM(I143:I146)</f>
        <v>499128.00000000006</v>
      </c>
      <c r="J142" s="871">
        <f>SUM(J143:J146)</f>
        <v>332752</v>
      </c>
      <c r="K142" s="871">
        <f t="shared" si="2"/>
        <v>831880</v>
      </c>
    </row>
    <row r="143" spans="1:11" s="874" customFormat="1" ht="76.5" customHeight="1">
      <c r="A143" s="893" t="s">
        <v>2275</v>
      </c>
      <c r="B143" s="1083" t="s">
        <v>2212</v>
      </c>
      <c r="C143" s="1084"/>
      <c r="D143" s="1084"/>
      <c r="E143" s="1084"/>
      <c r="F143" s="1085"/>
      <c r="G143" s="894">
        <v>8100</v>
      </c>
      <c r="H143" s="895">
        <v>169711</v>
      </c>
      <c r="I143" s="873">
        <f>I974</f>
        <v>192533.4</v>
      </c>
      <c r="J143" s="873">
        <f>J974</f>
        <v>128355.6</v>
      </c>
      <c r="K143" s="873">
        <f t="shared" si="2"/>
        <v>320889</v>
      </c>
    </row>
    <row r="144" spans="1:11" s="874" customFormat="1" ht="76.5" customHeight="1">
      <c r="A144" s="893" t="s">
        <v>2204</v>
      </c>
      <c r="B144" s="1083" t="s">
        <v>2205</v>
      </c>
      <c r="C144" s="1084"/>
      <c r="D144" s="1084"/>
      <c r="E144" s="1084"/>
      <c r="F144" s="1085"/>
      <c r="G144" s="894">
        <v>8100</v>
      </c>
      <c r="H144" s="895">
        <v>169711</v>
      </c>
      <c r="I144" s="873">
        <f>I981</f>
        <v>232736.40000000002</v>
      </c>
      <c r="J144" s="873">
        <f>J981</f>
        <v>155157.6</v>
      </c>
      <c r="K144" s="873">
        <f t="shared" si="2"/>
        <v>387894</v>
      </c>
    </row>
    <row r="145" spans="1:11" s="874" customFormat="1" ht="76.5" customHeight="1">
      <c r="A145" s="893" t="s">
        <v>193</v>
      </c>
      <c r="B145" s="1083" t="s">
        <v>1476</v>
      </c>
      <c r="C145" s="1084"/>
      <c r="D145" s="1084"/>
      <c r="E145" s="1084"/>
      <c r="F145" s="1085"/>
      <c r="G145" s="894">
        <v>8100</v>
      </c>
      <c r="H145" s="896" t="s">
        <v>2445</v>
      </c>
      <c r="I145" s="873">
        <f>I987</f>
        <v>16200</v>
      </c>
      <c r="J145" s="873">
        <f>J987</f>
        <v>10800</v>
      </c>
      <c r="K145" s="873">
        <f t="shared" si="2"/>
        <v>27000</v>
      </c>
    </row>
    <row r="146" spans="1:11" s="874" customFormat="1" ht="76.5" customHeight="1">
      <c r="A146" s="893" t="s">
        <v>244</v>
      </c>
      <c r="B146" s="1083" t="s">
        <v>266</v>
      </c>
      <c r="C146" s="1084"/>
      <c r="D146" s="1084"/>
      <c r="E146" s="1084"/>
      <c r="F146" s="1085"/>
      <c r="G146" s="894">
        <v>8100</v>
      </c>
      <c r="H146" s="895">
        <v>169711</v>
      </c>
      <c r="I146" s="873">
        <f>I989</f>
        <v>57658.2</v>
      </c>
      <c r="J146" s="873">
        <f>J989</f>
        <v>38438.800000000003</v>
      </c>
      <c r="K146" s="873">
        <f t="shared" si="2"/>
        <v>96097</v>
      </c>
    </row>
    <row r="147" spans="1:11" s="872" customFormat="1" ht="76.5" customHeight="1">
      <c r="A147" s="890"/>
      <c r="B147" s="1086" t="s">
        <v>2070</v>
      </c>
      <c r="C147" s="1087"/>
      <c r="D147" s="1087"/>
      <c r="E147" s="1087"/>
      <c r="F147" s="1088"/>
      <c r="G147" s="891"/>
      <c r="H147" s="892"/>
      <c r="I147" s="871">
        <f>SUM(I148:I150)</f>
        <v>186247.8</v>
      </c>
      <c r="J147" s="871">
        <f>SUM(J148:J150)</f>
        <v>124165.20000000001</v>
      </c>
      <c r="K147" s="871">
        <f t="shared" si="2"/>
        <v>310413</v>
      </c>
    </row>
    <row r="148" spans="1:11" s="874" customFormat="1" ht="76.5" customHeight="1">
      <c r="A148" s="893" t="s">
        <v>2275</v>
      </c>
      <c r="B148" s="1083" t="s">
        <v>2212</v>
      </c>
      <c r="C148" s="1084"/>
      <c r="D148" s="1084"/>
      <c r="E148" s="1084"/>
      <c r="F148" s="1085"/>
      <c r="G148" s="894">
        <v>8100</v>
      </c>
      <c r="H148" s="895">
        <v>169711</v>
      </c>
      <c r="I148" s="873">
        <f>I1016</f>
        <v>3600</v>
      </c>
      <c r="J148" s="873">
        <f>J1016</f>
        <v>2400</v>
      </c>
      <c r="K148" s="873">
        <f t="shared" si="2"/>
        <v>6000</v>
      </c>
    </row>
    <row r="149" spans="1:11" s="874" customFormat="1" ht="76.5" customHeight="1">
      <c r="A149" s="893" t="s">
        <v>2204</v>
      </c>
      <c r="B149" s="1083" t="s">
        <v>2205</v>
      </c>
      <c r="C149" s="1084"/>
      <c r="D149" s="1084"/>
      <c r="E149" s="1084"/>
      <c r="F149" s="1085"/>
      <c r="G149" s="894">
        <v>8100</v>
      </c>
      <c r="H149" s="895">
        <v>169711</v>
      </c>
      <c r="I149" s="873">
        <f>I1018</f>
        <v>177415.8</v>
      </c>
      <c r="J149" s="873">
        <f>J1018</f>
        <v>118277.20000000001</v>
      </c>
      <c r="K149" s="873">
        <f t="shared" si="2"/>
        <v>295693</v>
      </c>
    </row>
    <row r="150" spans="1:11" s="874" customFormat="1" ht="76.5" customHeight="1">
      <c r="A150" s="893" t="s">
        <v>244</v>
      </c>
      <c r="B150" s="1083" t="s">
        <v>266</v>
      </c>
      <c r="C150" s="1084"/>
      <c r="D150" s="1084"/>
      <c r="E150" s="1084"/>
      <c r="F150" s="1085"/>
      <c r="G150" s="894">
        <v>8100</v>
      </c>
      <c r="H150" s="895">
        <v>169711</v>
      </c>
      <c r="I150" s="873">
        <f>I1022</f>
        <v>5232</v>
      </c>
      <c r="J150" s="873">
        <f>J1022</f>
        <v>3488</v>
      </c>
      <c r="K150" s="873">
        <f t="shared" si="2"/>
        <v>8720</v>
      </c>
    </row>
    <row r="151" spans="1:11" s="872" customFormat="1" ht="76.5" customHeight="1">
      <c r="A151" s="890"/>
      <c r="B151" s="1086" t="s">
        <v>2137</v>
      </c>
      <c r="C151" s="1087"/>
      <c r="D151" s="1087"/>
      <c r="E151" s="1087"/>
      <c r="F151" s="1088"/>
      <c r="G151" s="891"/>
      <c r="H151" s="892"/>
      <c r="I151" s="871">
        <f>SUM(I152:I155)</f>
        <v>284751.00000000006</v>
      </c>
      <c r="J151" s="871">
        <f>SUM(J152:J155)</f>
        <v>189834</v>
      </c>
      <c r="K151" s="871">
        <f t="shared" si="2"/>
        <v>474585.00000000006</v>
      </c>
    </row>
    <row r="152" spans="1:11" s="874" customFormat="1" ht="76.5" customHeight="1">
      <c r="A152" s="893" t="s">
        <v>2275</v>
      </c>
      <c r="B152" s="1083" t="s">
        <v>2212</v>
      </c>
      <c r="C152" s="1084"/>
      <c r="D152" s="1084"/>
      <c r="E152" s="1084"/>
      <c r="F152" s="1085"/>
      <c r="G152" s="894">
        <v>8100</v>
      </c>
      <c r="H152" s="895">
        <v>169711</v>
      </c>
      <c r="I152" s="873">
        <f>I1029</f>
        <v>50820</v>
      </c>
      <c r="J152" s="873">
        <f>J1029</f>
        <v>33880</v>
      </c>
      <c r="K152" s="873">
        <f t="shared" si="2"/>
        <v>84700</v>
      </c>
    </row>
    <row r="153" spans="1:11" s="874" customFormat="1" ht="76.5" customHeight="1">
      <c r="A153" s="893" t="s">
        <v>2204</v>
      </c>
      <c r="B153" s="1083" t="s">
        <v>2205</v>
      </c>
      <c r="C153" s="1084"/>
      <c r="D153" s="1084"/>
      <c r="E153" s="1084"/>
      <c r="F153" s="1085"/>
      <c r="G153" s="894">
        <v>8100</v>
      </c>
      <c r="H153" s="895">
        <v>169711</v>
      </c>
      <c r="I153" s="873">
        <f>I1031</f>
        <v>196490.22000000003</v>
      </c>
      <c r="J153" s="873">
        <f>J1031</f>
        <v>130993.48000000001</v>
      </c>
      <c r="K153" s="873">
        <f t="shared" si="2"/>
        <v>327483.70000000007</v>
      </c>
    </row>
    <row r="154" spans="1:11" s="874" customFormat="1" ht="76.5" customHeight="1">
      <c r="A154" s="893" t="s">
        <v>193</v>
      </c>
      <c r="B154" s="1083" t="s">
        <v>1476</v>
      </c>
      <c r="C154" s="1084"/>
      <c r="D154" s="1084"/>
      <c r="E154" s="1084"/>
      <c r="F154" s="1085"/>
      <c r="G154" s="894">
        <v>8100</v>
      </c>
      <c r="H154" s="896" t="s">
        <v>2445</v>
      </c>
      <c r="I154" s="873">
        <f>I1041</f>
        <v>31986.780000000002</v>
      </c>
      <c r="J154" s="873">
        <f>J1041</f>
        <v>21324.520000000004</v>
      </c>
      <c r="K154" s="873">
        <f t="shared" si="2"/>
        <v>53311.3</v>
      </c>
    </row>
    <row r="155" spans="1:11" s="874" customFormat="1" ht="76.5" customHeight="1">
      <c r="A155" s="893" t="s">
        <v>244</v>
      </c>
      <c r="B155" s="1083" t="s">
        <v>266</v>
      </c>
      <c r="C155" s="1084"/>
      <c r="D155" s="1084"/>
      <c r="E155" s="1084"/>
      <c r="F155" s="1085"/>
      <c r="G155" s="894">
        <v>8100</v>
      </c>
      <c r="H155" s="895">
        <v>169711</v>
      </c>
      <c r="I155" s="873">
        <f>I1043</f>
        <v>5454</v>
      </c>
      <c r="J155" s="873">
        <f>J1043</f>
        <v>3636</v>
      </c>
      <c r="K155" s="873">
        <f t="shared" si="2"/>
        <v>9090</v>
      </c>
    </row>
    <row r="156" spans="1:11" s="872" customFormat="1" ht="76.5" customHeight="1">
      <c r="A156" s="890"/>
      <c r="B156" s="1086" t="s">
        <v>2174</v>
      </c>
      <c r="C156" s="1087"/>
      <c r="D156" s="1087"/>
      <c r="E156" s="1087"/>
      <c r="F156" s="1088"/>
      <c r="G156" s="891"/>
      <c r="H156" s="892"/>
      <c r="I156" s="871">
        <f>SUM(I157:I159)</f>
        <v>65636.399999999994</v>
      </c>
      <c r="J156" s="871">
        <f>SUM(J157:J159)</f>
        <v>43757.599999999999</v>
      </c>
      <c r="K156" s="871">
        <f t="shared" si="2"/>
        <v>109394</v>
      </c>
    </row>
    <row r="157" spans="1:11" s="874" customFormat="1" ht="76.5" customHeight="1">
      <c r="A157" s="893" t="s">
        <v>2204</v>
      </c>
      <c r="B157" s="1083" t="s">
        <v>2205</v>
      </c>
      <c r="C157" s="1084"/>
      <c r="D157" s="1084"/>
      <c r="E157" s="1084"/>
      <c r="F157" s="1085"/>
      <c r="G157" s="894">
        <v>8100</v>
      </c>
      <c r="H157" s="895">
        <v>169711</v>
      </c>
      <c r="I157" s="873">
        <f>I1059</f>
        <v>56276.4</v>
      </c>
      <c r="J157" s="873">
        <f>J1059</f>
        <v>37517.599999999999</v>
      </c>
      <c r="K157" s="873">
        <f t="shared" si="2"/>
        <v>93794</v>
      </c>
    </row>
    <row r="158" spans="1:11" s="874" customFormat="1" ht="76.5" customHeight="1">
      <c r="A158" s="893" t="s">
        <v>193</v>
      </c>
      <c r="B158" s="1083" t="s">
        <v>1476</v>
      </c>
      <c r="C158" s="1084"/>
      <c r="D158" s="1084"/>
      <c r="E158" s="1084"/>
      <c r="F158" s="1085"/>
      <c r="G158" s="894">
        <v>8100</v>
      </c>
      <c r="H158" s="896" t="s">
        <v>2445</v>
      </c>
      <c r="I158" s="873">
        <f>I1065</f>
        <v>3960</v>
      </c>
      <c r="J158" s="873">
        <f>J1065</f>
        <v>2640</v>
      </c>
      <c r="K158" s="873">
        <f t="shared" si="2"/>
        <v>6600</v>
      </c>
    </row>
    <row r="159" spans="1:11" s="874" customFormat="1" ht="76.5" customHeight="1">
      <c r="A159" s="893" t="s">
        <v>244</v>
      </c>
      <c r="B159" s="1083" t="s">
        <v>266</v>
      </c>
      <c r="C159" s="1084"/>
      <c r="D159" s="1084"/>
      <c r="E159" s="1084"/>
      <c r="F159" s="1085"/>
      <c r="G159" s="894">
        <v>8100</v>
      </c>
      <c r="H159" s="895">
        <v>169711</v>
      </c>
      <c r="I159" s="873">
        <f>I1067</f>
        <v>5400</v>
      </c>
      <c r="J159" s="873">
        <f>J1067</f>
        <v>3600</v>
      </c>
      <c r="K159" s="873">
        <f t="shared" si="2"/>
        <v>9000</v>
      </c>
    </row>
    <row r="160" spans="1:11" s="872" customFormat="1" ht="76.5" customHeight="1">
      <c r="A160" s="890"/>
      <c r="B160" s="1086" t="s">
        <v>2003</v>
      </c>
      <c r="C160" s="1087"/>
      <c r="D160" s="1087"/>
      <c r="E160" s="1087"/>
      <c r="F160" s="1088"/>
      <c r="G160" s="891"/>
      <c r="H160" s="892"/>
      <c r="I160" s="871">
        <f>SUM(I161:I164)</f>
        <v>215945.4</v>
      </c>
      <c r="J160" s="871">
        <f>SUM(J161:J164)</f>
        <v>143963.6</v>
      </c>
      <c r="K160" s="871">
        <f t="shared" si="2"/>
        <v>359909</v>
      </c>
    </row>
    <row r="161" spans="1:11" s="874" customFormat="1" ht="76.5" customHeight="1">
      <c r="A161" s="893" t="s">
        <v>2275</v>
      </c>
      <c r="B161" s="1083" t="s">
        <v>2212</v>
      </c>
      <c r="C161" s="1084"/>
      <c r="D161" s="1084"/>
      <c r="E161" s="1084"/>
      <c r="F161" s="1085"/>
      <c r="G161" s="894">
        <v>8100</v>
      </c>
      <c r="H161" s="895">
        <v>169711</v>
      </c>
      <c r="I161" s="873">
        <f>I1073</f>
        <v>35784</v>
      </c>
      <c r="J161" s="873">
        <f>J1073</f>
        <v>23856</v>
      </c>
      <c r="K161" s="873">
        <f t="shared" si="2"/>
        <v>59640</v>
      </c>
    </row>
    <row r="162" spans="1:11" s="874" customFormat="1" ht="76.5" customHeight="1">
      <c r="A162" s="893" t="s">
        <v>2204</v>
      </c>
      <c r="B162" s="1083" t="s">
        <v>2205</v>
      </c>
      <c r="C162" s="1084"/>
      <c r="D162" s="1084"/>
      <c r="E162" s="1084"/>
      <c r="F162" s="1085"/>
      <c r="G162" s="894">
        <v>8100</v>
      </c>
      <c r="H162" s="895">
        <v>169711</v>
      </c>
      <c r="I162" s="873">
        <f>I1076</f>
        <v>143924.4</v>
      </c>
      <c r="J162" s="873">
        <f>J1076</f>
        <v>95949.6</v>
      </c>
      <c r="K162" s="873">
        <f t="shared" si="2"/>
        <v>239874</v>
      </c>
    </row>
    <row r="163" spans="1:11" s="874" customFormat="1" ht="76.5" customHeight="1">
      <c r="A163" s="893" t="s">
        <v>193</v>
      </c>
      <c r="B163" s="1083" t="s">
        <v>1476</v>
      </c>
      <c r="C163" s="1084"/>
      <c r="D163" s="1084"/>
      <c r="E163" s="1084"/>
      <c r="F163" s="1085"/>
      <c r="G163" s="894">
        <v>8100</v>
      </c>
      <c r="H163" s="896" t="s">
        <v>2445</v>
      </c>
      <c r="I163" s="873">
        <f>I1083</f>
        <v>18000</v>
      </c>
      <c r="J163" s="873">
        <f>J1083</f>
        <v>12000</v>
      </c>
      <c r="K163" s="873">
        <f t="shared" si="2"/>
        <v>30000</v>
      </c>
    </row>
    <row r="164" spans="1:11" s="874" customFormat="1" ht="76.5" customHeight="1">
      <c r="A164" s="893" t="s">
        <v>244</v>
      </c>
      <c r="B164" s="1083" t="s">
        <v>266</v>
      </c>
      <c r="C164" s="1084"/>
      <c r="D164" s="1084"/>
      <c r="E164" s="1084"/>
      <c r="F164" s="1085"/>
      <c r="G164" s="894">
        <v>8100</v>
      </c>
      <c r="H164" s="895">
        <v>169711</v>
      </c>
      <c r="I164" s="873">
        <f>I1085</f>
        <v>18237</v>
      </c>
      <c r="J164" s="873">
        <f>J1085</f>
        <v>12158</v>
      </c>
      <c r="K164" s="873">
        <f t="shared" si="2"/>
        <v>30395</v>
      </c>
    </row>
    <row r="165" spans="1:11" s="872" customFormat="1" ht="76.5" customHeight="1">
      <c r="A165" s="890"/>
      <c r="B165" s="897" t="s">
        <v>2082</v>
      </c>
      <c r="C165" s="898"/>
      <c r="D165" s="898"/>
      <c r="E165" s="898"/>
      <c r="F165" s="899"/>
      <c r="G165" s="891"/>
      <c r="H165" s="892"/>
      <c r="I165" s="871">
        <f>SUM(I166:I169)</f>
        <v>280201.8</v>
      </c>
      <c r="J165" s="871">
        <f>SUM(J166:J169)</f>
        <v>186801.2</v>
      </c>
      <c r="K165" s="871">
        <f t="shared" si="2"/>
        <v>467003</v>
      </c>
    </row>
    <row r="166" spans="1:11" s="874" customFormat="1" ht="76.5" customHeight="1">
      <c r="A166" s="893" t="s">
        <v>2275</v>
      </c>
      <c r="B166" s="1083" t="s">
        <v>2212</v>
      </c>
      <c r="C166" s="1084"/>
      <c r="D166" s="1084"/>
      <c r="E166" s="1084"/>
      <c r="F166" s="1085"/>
      <c r="G166" s="894">
        <v>8100</v>
      </c>
      <c r="H166" s="895">
        <v>169711</v>
      </c>
      <c r="I166" s="873">
        <f>I1103</f>
        <v>103200</v>
      </c>
      <c r="J166" s="873">
        <f>J1103</f>
        <v>68800</v>
      </c>
      <c r="K166" s="873">
        <f t="shared" si="2"/>
        <v>172000</v>
      </c>
    </row>
    <row r="167" spans="1:11" s="874" customFormat="1" ht="76.5" customHeight="1">
      <c r="A167" s="893" t="s">
        <v>2204</v>
      </c>
      <c r="B167" s="1083" t="s">
        <v>2205</v>
      </c>
      <c r="C167" s="1084"/>
      <c r="D167" s="1084"/>
      <c r="E167" s="1084"/>
      <c r="F167" s="1085"/>
      <c r="G167" s="894">
        <v>8100</v>
      </c>
      <c r="H167" s="895">
        <v>169711</v>
      </c>
      <c r="I167" s="873">
        <f>I1107</f>
        <v>153001.79999999999</v>
      </c>
      <c r="J167" s="873">
        <f>J1107</f>
        <v>102001.2</v>
      </c>
      <c r="K167" s="873">
        <f t="shared" si="2"/>
        <v>255003</v>
      </c>
    </row>
    <row r="168" spans="1:11" s="874" customFormat="1" ht="76.5" customHeight="1">
      <c r="A168" s="893" t="s">
        <v>193</v>
      </c>
      <c r="B168" s="1083" t="s">
        <v>1476</v>
      </c>
      <c r="C168" s="1084"/>
      <c r="D168" s="1084"/>
      <c r="E168" s="1084"/>
      <c r="F168" s="1085"/>
      <c r="G168" s="894">
        <v>8100</v>
      </c>
      <c r="H168" s="896" t="s">
        <v>2445</v>
      </c>
      <c r="I168" s="873">
        <f>I1114</f>
        <v>12000</v>
      </c>
      <c r="J168" s="873">
        <f>J1114</f>
        <v>8000</v>
      </c>
      <c r="K168" s="873">
        <f t="shared" si="2"/>
        <v>20000</v>
      </c>
    </row>
    <row r="169" spans="1:11" s="874" customFormat="1" ht="76.5" customHeight="1">
      <c r="A169" s="893" t="s">
        <v>244</v>
      </c>
      <c r="B169" s="1083" t="s">
        <v>266</v>
      </c>
      <c r="C169" s="1084"/>
      <c r="D169" s="1084"/>
      <c r="E169" s="1084"/>
      <c r="F169" s="1085"/>
      <c r="G169" s="894">
        <v>8100</v>
      </c>
      <c r="H169" s="895">
        <v>169711</v>
      </c>
      <c r="I169" s="873">
        <f>I1116</f>
        <v>12000</v>
      </c>
      <c r="J169" s="873">
        <f>J1116</f>
        <v>8000</v>
      </c>
      <c r="K169" s="873">
        <f t="shared" si="2"/>
        <v>20000</v>
      </c>
    </row>
    <row r="170" spans="1:11" s="872" customFormat="1" ht="76.5" customHeight="1">
      <c r="A170" s="890"/>
      <c r="B170" s="1086" t="s">
        <v>1805</v>
      </c>
      <c r="C170" s="1087"/>
      <c r="D170" s="1087"/>
      <c r="E170" s="1087"/>
      <c r="F170" s="1088"/>
      <c r="G170" s="891"/>
      <c r="H170" s="892"/>
      <c r="I170" s="871">
        <f>SUM(I171:I175)</f>
        <v>250761.19999999998</v>
      </c>
      <c r="J170" s="871">
        <f>SUM(J171:J175)</f>
        <v>139238.79999999999</v>
      </c>
      <c r="K170" s="871">
        <f t="shared" si="2"/>
        <v>390000</v>
      </c>
    </row>
    <row r="171" spans="1:11" s="874" customFormat="1" ht="76.5" customHeight="1">
      <c r="A171" s="893" t="s">
        <v>2204</v>
      </c>
      <c r="B171" s="1083" t="s">
        <v>2205</v>
      </c>
      <c r="C171" s="1084"/>
      <c r="D171" s="1084"/>
      <c r="E171" s="1084"/>
      <c r="F171" s="1085"/>
      <c r="G171" s="894">
        <v>8100</v>
      </c>
      <c r="H171" s="895">
        <v>169711</v>
      </c>
      <c r="I171" s="873">
        <f>I648</f>
        <v>21299.4</v>
      </c>
      <c r="J171" s="873">
        <f>J648</f>
        <v>14199.6</v>
      </c>
      <c r="K171" s="873">
        <f t="shared" si="2"/>
        <v>35499</v>
      </c>
    </row>
    <row r="172" spans="1:11" s="874" customFormat="1" ht="76.5" customHeight="1">
      <c r="A172" s="893" t="s">
        <v>193</v>
      </c>
      <c r="B172" s="1083" t="s">
        <v>1476</v>
      </c>
      <c r="C172" s="1084"/>
      <c r="D172" s="1084"/>
      <c r="E172" s="1084"/>
      <c r="F172" s="1085"/>
      <c r="G172" s="894">
        <v>8100</v>
      </c>
      <c r="H172" s="896" t="s">
        <v>2445</v>
      </c>
      <c r="I172" s="873">
        <f>I654</f>
        <v>4800</v>
      </c>
      <c r="J172" s="873">
        <f>J654</f>
        <v>3200</v>
      </c>
      <c r="K172" s="873">
        <f t="shared" si="2"/>
        <v>8000</v>
      </c>
    </row>
    <row r="173" spans="1:11" s="874" customFormat="1" ht="76.5" customHeight="1">
      <c r="A173" s="893" t="s">
        <v>244</v>
      </c>
      <c r="B173" s="1083" t="s">
        <v>266</v>
      </c>
      <c r="C173" s="1084"/>
      <c r="D173" s="1084"/>
      <c r="E173" s="1084"/>
      <c r="F173" s="1085"/>
      <c r="G173" s="894">
        <v>8100</v>
      </c>
      <c r="H173" s="895">
        <v>169711</v>
      </c>
      <c r="I173" s="873">
        <f>I656</f>
        <v>10500</v>
      </c>
      <c r="J173" s="873">
        <f>J656</f>
        <v>7000</v>
      </c>
      <c r="K173" s="873">
        <f t="shared" si="2"/>
        <v>17500</v>
      </c>
    </row>
    <row r="174" spans="1:11" s="874" customFormat="1" ht="76.5" customHeight="1">
      <c r="A174" s="893" t="s">
        <v>417</v>
      </c>
      <c r="B174" s="1083" t="s">
        <v>2207</v>
      </c>
      <c r="C174" s="1084"/>
      <c r="D174" s="1084"/>
      <c r="E174" s="1084"/>
      <c r="F174" s="1085"/>
      <c r="G174" s="894">
        <v>8100</v>
      </c>
      <c r="H174" s="895">
        <v>169716</v>
      </c>
      <c r="I174" s="873">
        <f>I659</f>
        <v>205485.8</v>
      </c>
      <c r="J174" s="873">
        <f>J659</f>
        <v>114839.2</v>
      </c>
      <c r="K174" s="873">
        <f t="shared" si="2"/>
        <v>320325</v>
      </c>
    </row>
    <row r="175" spans="1:11" s="874" customFormat="1" ht="76.5" customHeight="1">
      <c r="A175" s="893" t="s">
        <v>417</v>
      </c>
      <c r="B175" s="1083" t="s">
        <v>2471</v>
      </c>
      <c r="C175" s="1084"/>
      <c r="D175" s="1084"/>
      <c r="E175" s="1084"/>
      <c r="F175" s="1085"/>
      <c r="G175" s="894"/>
      <c r="H175" s="895"/>
      <c r="I175" s="873">
        <f>I673+I674</f>
        <v>8676</v>
      </c>
      <c r="J175" s="873">
        <f>J673+J674</f>
        <v>0</v>
      </c>
      <c r="K175" s="873">
        <f>I175+J175</f>
        <v>8676</v>
      </c>
    </row>
    <row r="176" spans="1:11" s="872" customFormat="1" ht="76.5" customHeight="1">
      <c r="A176" s="890"/>
      <c r="B176" s="1086" t="s">
        <v>1901</v>
      </c>
      <c r="C176" s="1087"/>
      <c r="D176" s="1087"/>
      <c r="E176" s="1087"/>
      <c r="F176" s="1088"/>
      <c r="G176" s="891"/>
      <c r="H176" s="892"/>
      <c r="I176" s="871">
        <f>SUM(I177:I179)</f>
        <v>44001.468000000001</v>
      </c>
      <c r="J176" s="871">
        <f>SUM(J177:J179)</f>
        <v>29334.311999999998</v>
      </c>
      <c r="K176" s="871">
        <f t="shared" si="2"/>
        <v>73335.78</v>
      </c>
    </row>
    <row r="177" spans="1:11" s="874" customFormat="1" ht="76.5" customHeight="1">
      <c r="A177" s="893" t="s">
        <v>2204</v>
      </c>
      <c r="B177" s="1083" t="s">
        <v>2205</v>
      </c>
      <c r="C177" s="1084"/>
      <c r="D177" s="1084"/>
      <c r="E177" s="1084"/>
      <c r="F177" s="1085"/>
      <c r="G177" s="894">
        <v>8100</v>
      </c>
      <c r="H177" s="895">
        <v>169711</v>
      </c>
      <c r="I177" s="873">
        <f>I822</f>
        <v>32527.601999999999</v>
      </c>
      <c r="J177" s="873">
        <f>J822</f>
        <v>21685.067999999999</v>
      </c>
      <c r="K177" s="873">
        <f t="shared" si="2"/>
        <v>54212.67</v>
      </c>
    </row>
    <row r="178" spans="1:11" s="874" customFormat="1" ht="76.5" customHeight="1">
      <c r="A178" s="893" t="s">
        <v>193</v>
      </c>
      <c r="B178" s="1083" t="s">
        <v>1476</v>
      </c>
      <c r="C178" s="1084"/>
      <c r="D178" s="1084"/>
      <c r="E178" s="1084"/>
      <c r="F178" s="1085"/>
      <c r="G178" s="894">
        <v>8100</v>
      </c>
      <c r="H178" s="896" t="s">
        <v>2445</v>
      </c>
      <c r="I178" s="873">
        <f>I832</f>
        <v>2520</v>
      </c>
      <c r="J178" s="873">
        <f>J832</f>
        <v>1680</v>
      </c>
      <c r="K178" s="873">
        <f t="shared" si="2"/>
        <v>4200</v>
      </c>
    </row>
    <row r="179" spans="1:11" s="874" customFormat="1" ht="76.5" customHeight="1">
      <c r="A179" s="893" t="s">
        <v>244</v>
      </c>
      <c r="B179" s="1083" t="s">
        <v>266</v>
      </c>
      <c r="C179" s="1084"/>
      <c r="D179" s="1084"/>
      <c r="E179" s="1084"/>
      <c r="F179" s="1085"/>
      <c r="G179" s="894">
        <v>8100</v>
      </c>
      <c r="H179" s="895">
        <v>169711</v>
      </c>
      <c r="I179" s="873">
        <f>I834</f>
        <v>8953.866</v>
      </c>
      <c r="J179" s="873">
        <f>J834</f>
        <v>5969.2439999999997</v>
      </c>
      <c r="K179" s="873">
        <f t="shared" si="2"/>
        <v>14923.11</v>
      </c>
    </row>
    <row r="180" spans="1:11" s="874" customFormat="1" ht="76.5" customHeight="1">
      <c r="A180" s="905"/>
      <c r="B180" s="906"/>
      <c r="C180" s="906"/>
      <c r="D180" s="906"/>
      <c r="E180" s="906"/>
      <c r="F180" s="906"/>
      <c r="G180" s="907"/>
      <c r="H180" s="907"/>
      <c r="I180" s="908"/>
      <c r="J180" s="908"/>
      <c r="K180" s="908"/>
    </row>
    <row r="181" spans="1:11" ht="45">
      <c r="A181" s="979" t="s">
        <v>51</v>
      </c>
      <c r="B181" s="979"/>
      <c r="C181" s="979"/>
      <c r="D181" s="979"/>
      <c r="E181" s="979"/>
      <c r="F181" s="979"/>
      <c r="G181" s="979"/>
      <c r="H181" s="979"/>
      <c r="I181" s="979"/>
      <c r="J181" s="979"/>
      <c r="K181" s="979"/>
    </row>
    <row r="182" spans="1:11" ht="45">
      <c r="A182" s="979" t="s">
        <v>52</v>
      </c>
      <c r="B182" s="979"/>
      <c r="C182" s="979"/>
      <c r="D182" s="979"/>
      <c r="E182" s="979"/>
      <c r="F182" s="979"/>
      <c r="G182" s="979"/>
      <c r="H182" s="979"/>
      <c r="I182" s="979"/>
      <c r="J182" s="979"/>
      <c r="K182" s="979"/>
    </row>
    <row r="183" spans="1:11" ht="45">
      <c r="A183" s="1040" t="s">
        <v>50</v>
      </c>
      <c r="B183" s="1040"/>
      <c r="C183" s="1040"/>
      <c r="D183" s="1040"/>
      <c r="E183" s="1040"/>
      <c r="F183" s="1040"/>
      <c r="G183" s="1040"/>
      <c r="H183" s="1040"/>
      <c r="I183" s="1040"/>
      <c r="J183" s="1040"/>
      <c r="K183" s="1040"/>
    </row>
    <row r="184" spans="1:11" ht="44.25">
      <c r="A184" s="736"/>
      <c r="B184" s="736"/>
      <c r="C184" s="736"/>
      <c r="D184" s="736"/>
      <c r="E184" s="736"/>
      <c r="F184" s="736"/>
      <c r="G184" s="843"/>
      <c r="H184" s="843"/>
      <c r="I184" s="843"/>
      <c r="J184" s="843"/>
      <c r="K184" s="843"/>
    </row>
    <row r="185" spans="1:11" ht="45">
      <c r="A185" s="979" t="s">
        <v>2214</v>
      </c>
      <c r="B185" s="979"/>
      <c r="C185" s="979"/>
      <c r="D185" s="979"/>
      <c r="E185" s="979"/>
      <c r="F185" s="979"/>
      <c r="G185" s="979"/>
      <c r="H185" s="979"/>
      <c r="I185" s="979"/>
      <c r="J185" s="979"/>
      <c r="K185" s="979"/>
    </row>
    <row r="186" spans="1:11" s="620" customFormat="1" ht="33">
      <c r="A186" s="65"/>
      <c r="B186" s="65"/>
      <c r="C186" s="65"/>
      <c r="D186" s="65"/>
      <c r="E186" s="65"/>
      <c r="F186" s="65"/>
      <c r="G186" s="68"/>
      <c r="H186" s="68"/>
      <c r="I186" s="68"/>
      <c r="J186" s="68"/>
      <c r="K186" s="68"/>
    </row>
    <row r="187" spans="1:11" ht="20.100000000000001" customHeight="1">
      <c r="A187" s="65"/>
      <c r="B187" s="65"/>
      <c r="C187" s="65"/>
      <c r="D187" s="65"/>
      <c r="E187" s="65"/>
      <c r="F187" s="65"/>
      <c r="G187" s="68"/>
      <c r="H187" s="68"/>
      <c r="I187" s="68"/>
      <c r="J187" s="68"/>
      <c r="K187" s="68"/>
    </row>
    <row r="188" spans="1:11" ht="20.100000000000001" customHeight="1">
      <c r="A188" s="979"/>
      <c r="B188" s="979"/>
      <c r="C188" s="979"/>
      <c r="D188" s="979"/>
      <c r="E188" s="979"/>
      <c r="F188" s="979"/>
      <c r="G188" s="979"/>
      <c r="H188" s="979"/>
      <c r="I188" s="979"/>
      <c r="J188" s="979"/>
      <c r="K188" s="979"/>
    </row>
    <row r="189" spans="1:11" ht="45.75" customHeight="1">
      <c r="A189" s="1029" t="s">
        <v>2492</v>
      </c>
      <c r="B189" s="1030"/>
      <c r="C189" s="1030"/>
      <c r="D189" s="1030"/>
      <c r="E189" s="1030"/>
      <c r="F189" s="1030"/>
      <c r="G189" s="1030"/>
      <c r="H189" s="1030"/>
      <c r="I189" s="1030"/>
      <c r="J189" s="1030"/>
      <c r="K189" s="1030"/>
    </row>
    <row r="190" spans="1:11" s="872" customFormat="1" ht="76.5" customHeight="1">
      <c r="A190" s="890"/>
      <c r="B190" s="1086" t="s">
        <v>1780</v>
      </c>
      <c r="C190" s="1087"/>
      <c r="D190" s="1087"/>
      <c r="E190" s="1087"/>
      <c r="F190" s="1088"/>
      <c r="G190" s="891"/>
      <c r="H190" s="892"/>
      <c r="I190" s="871">
        <f>SUM(I191:I193)</f>
        <v>69870.600000000006</v>
      </c>
      <c r="J190" s="871">
        <f>SUM(J191:J193)</f>
        <v>46580.4</v>
      </c>
      <c r="K190" s="871">
        <f t="shared" si="2"/>
        <v>116451</v>
      </c>
    </row>
    <row r="191" spans="1:11" s="874" customFormat="1" ht="76.5" customHeight="1">
      <c r="A191" s="893" t="s">
        <v>2204</v>
      </c>
      <c r="B191" s="1083" t="s">
        <v>2205</v>
      </c>
      <c r="C191" s="1084"/>
      <c r="D191" s="1084"/>
      <c r="E191" s="1084"/>
      <c r="F191" s="1085"/>
      <c r="G191" s="894">
        <v>8100</v>
      </c>
      <c r="H191" s="895">
        <v>169711</v>
      </c>
      <c r="I191" s="873">
        <f>I696</f>
        <v>59370.600000000006</v>
      </c>
      <c r="J191" s="873">
        <f>J696</f>
        <v>39580.400000000001</v>
      </c>
      <c r="K191" s="873">
        <f t="shared" si="2"/>
        <v>98951</v>
      </c>
    </row>
    <row r="192" spans="1:11" s="874" customFormat="1" ht="76.5" customHeight="1">
      <c r="A192" s="893" t="s">
        <v>193</v>
      </c>
      <c r="B192" s="1083" t="s">
        <v>1476</v>
      </c>
      <c r="C192" s="1084"/>
      <c r="D192" s="1084"/>
      <c r="E192" s="1084"/>
      <c r="F192" s="1085"/>
      <c r="G192" s="894">
        <v>8100</v>
      </c>
      <c r="H192" s="896" t="s">
        <v>2445</v>
      </c>
      <c r="I192" s="873">
        <f>I703</f>
        <v>3000</v>
      </c>
      <c r="J192" s="873">
        <f>J703</f>
        <v>2000</v>
      </c>
      <c r="K192" s="873">
        <f t="shared" si="2"/>
        <v>5000</v>
      </c>
    </row>
    <row r="193" spans="1:11" s="874" customFormat="1" ht="76.5" customHeight="1">
      <c r="A193" s="893" t="s">
        <v>244</v>
      </c>
      <c r="B193" s="1083" t="s">
        <v>266</v>
      </c>
      <c r="C193" s="1084"/>
      <c r="D193" s="1084"/>
      <c r="E193" s="1084"/>
      <c r="F193" s="1085"/>
      <c r="G193" s="894">
        <v>8100</v>
      </c>
      <c r="H193" s="895">
        <v>169711</v>
      </c>
      <c r="I193" s="873">
        <f>I705</f>
        <v>7500</v>
      </c>
      <c r="J193" s="873">
        <f>J705</f>
        <v>5000</v>
      </c>
      <c r="K193" s="873">
        <f t="shared" si="2"/>
        <v>12500</v>
      </c>
    </row>
    <row r="194" spans="1:11" s="872" customFormat="1" ht="76.5" customHeight="1">
      <c r="A194" s="890"/>
      <c r="B194" s="1086" t="s">
        <v>1982</v>
      </c>
      <c r="C194" s="1087"/>
      <c r="D194" s="1087"/>
      <c r="E194" s="1087"/>
      <c r="F194" s="1088"/>
      <c r="G194" s="891"/>
      <c r="H194" s="892"/>
      <c r="I194" s="871">
        <f>SUM(I195:I197)</f>
        <v>42717</v>
      </c>
      <c r="J194" s="871">
        <f>SUM(J195:J197)</f>
        <v>28478</v>
      </c>
      <c r="K194" s="871">
        <f t="shared" si="2"/>
        <v>71195</v>
      </c>
    </row>
    <row r="195" spans="1:11" s="874" customFormat="1" ht="76.5" customHeight="1">
      <c r="A195" s="893" t="s">
        <v>2204</v>
      </c>
      <c r="B195" s="1083" t="s">
        <v>2205</v>
      </c>
      <c r="C195" s="1084"/>
      <c r="D195" s="1084"/>
      <c r="E195" s="1084"/>
      <c r="F195" s="1085"/>
      <c r="G195" s="894">
        <v>8100</v>
      </c>
      <c r="H195" s="895">
        <v>169711</v>
      </c>
      <c r="I195" s="873">
        <f>I852</f>
        <v>38817</v>
      </c>
      <c r="J195" s="873">
        <f>J852</f>
        <v>25878</v>
      </c>
      <c r="K195" s="873">
        <f t="shared" si="2"/>
        <v>64695</v>
      </c>
    </row>
    <row r="196" spans="1:11" s="874" customFormat="1" ht="76.5" customHeight="1">
      <c r="A196" s="893" t="s">
        <v>193</v>
      </c>
      <c r="B196" s="1083" t="s">
        <v>1476</v>
      </c>
      <c r="C196" s="1084"/>
      <c r="D196" s="1084"/>
      <c r="E196" s="1084"/>
      <c r="F196" s="1085"/>
      <c r="G196" s="894">
        <v>8100</v>
      </c>
      <c r="H196" s="896" t="s">
        <v>2445</v>
      </c>
      <c r="I196" s="873">
        <f>I859</f>
        <v>1500</v>
      </c>
      <c r="J196" s="873">
        <f>J859</f>
        <v>1000</v>
      </c>
      <c r="K196" s="873">
        <f t="shared" si="2"/>
        <v>2500</v>
      </c>
    </row>
    <row r="197" spans="1:11" s="874" customFormat="1" ht="76.5" customHeight="1">
      <c r="A197" s="893" t="s">
        <v>244</v>
      </c>
      <c r="B197" s="1083" t="s">
        <v>266</v>
      </c>
      <c r="C197" s="1084"/>
      <c r="D197" s="1084"/>
      <c r="E197" s="1084"/>
      <c r="F197" s="1085"/>
      <c r="G197" s="894">
        <v>8100</v>
      </c>
      <c r="H197" s="895">
        <v>169711</v>
      </c>
      <c r="I197" s="873">
        <f>I861</f>
        <v>2400</v>
      </c>
      <c r="J197" s="873">
        <f>J861</f>
        <v>1600</v>
      </c>
      <c r="K197" s="873">
        <f t="shared" si="2"/>
        <v>4000</v>
      </c>
    </row>
    <row r="198" spans="1:11" s="872" customFormat="1" ht="76.5" customHeight="1">
      <c r="A198" s="890"/>
      <c r="B198" s="1086" t="s">
        <v>2210</v>
      </c>
      <c r="C198" s="1087"/>
      <c r="D198" s="1087"/>
      <c r="E198" s="1087"/>
      <c r="F198" s="1088"/>
      <c r="G198" s="891"/>
      <c r="H198" s="892"/>
      <c r="I198" s="871">
        <f>SUM(I199:I200)</f>
        <v>36599.4</v>
      </c>
      <c r="J198" s="871">
        <f>SUM(J199:J200)</f>
        <v>24399.599999999999</v>
      </c>
      <c r="K198" s="871">
        <f t="shared" si="2"/>
        <v>60999</v>
      </c>
    </row>
    <row r="199" spans="1:11" s="874" customFormat="1" ht="76.5" customHeight="1">
      <c r="A199" s="893" t="s">
        <v>2204</v>
      </c>
      <c r="B199" s="1083" t="s">
        <v>2205</v>
      </c>
      <c r="C199" s="1084"/>
      <c r="D199" s="1084"/>
      <c r="E199" s="1084"/>
      <c r="F199" s="1085"/>
      <c r="G199" s="894">
        <v>8100</v>
      </c>
      <c r="H199" s="895">
        <v>169711</v>
      </c>
      <c r="I199" s="873">
        <f>I868</f>
        <v>34200</v>
      </c>
      <c r="J199" s="873">
        <f>J868</f>
        <v>22800</v>
      </c>
      <c r="K199" s="873">
        <f t="shared" si="2"/>
        <v>57000</v>
      </c>
    </row>
    <row r="200" spans="1:11" s="874" customFormat="1" ht="76.5" customHeight="1">
      <c r="A200" s="893" t="s">
        <v>244</v>
      </c>
      <c r="B200" s="1083" t="s">
        <v>266</v>
      </c>
      <c r="C200" s="1084"/>
      <c r="D200" s="1084"/>
      <c r="E200" s="1084"/>
      <c r="F200" s="1085"/>
      <c r="G200" s="894">
        <v>8100</v>
      </c>
      <c r="H200" s="895">
        <v>169711</v>
      </c>
      <c r="I200" s="873">
        <f>I872</f>
        <v>2399.4</v>
      </c>
      <c r="J200" s="873">
        <f>J872</f>
        <v>1599.6000000000001</v>
      </c>
      <c r="K200" s="873">
        <f t="shared" si="2"/>
        <v>3999</v>
      </c>
    </row>
    <row r="201" spans="1:11" s="872" customFormat="1" ht="76.5" customHeight="1">
      <c r="A201" s="890"/>
      <c r="B201" s="1086" t="s">
        <v>2073</v>
      </c>
      <c r="C201" s="1087"/>
      <c r="D201" s="1087"/>
      <c r="E201" s="1087"/>
      <c r="F201" s="1088"/>
      <c r="G201" s="891"/>
      <c r="H201" s="892"/>
      <c r="I201" s="871">
        <f>SUM(I202:I204)</f>
        <v>139721.4</v>
      </c>
      <c r="J201" s="871">
        <f>SUM(J202:J204)</f>
        <v>93147.6</v>
      </c>
      <c r="K201" s="871">
        <f t="shared" si="2"/>
        <v>232869</v>
      </c>
    </row>
    <row r="202" spans="1:11" s="874" customFormat="1" ht="76.5" customHeight="1">
      <c r="A202" s="893" t="s">
        <v>2204</v>
      </c>
      <c r="B202" s="1083" t="s">
        <v>2205</v>
      </c>
      <c r="C202" s="1084"/>
      <c r="D202" s="1084"/>
      <c r="E202" s="1084"/>
      <c r="F202" s="1085"/>
      <c r="G202" s="894">
        <v>8100</v>
      </c>
      <c r="H202" s="895">
        <v>169711</v>
      </c>
      <c r="I202" s="873">
        <f>I1124</f>
        <v>123715.20000000001</v>
      </c>
      <c r="J202" s="873">
        <f>J1124</f>
        <v>82476.800000000003</v>
      </c>
      <c r="K202" s="873">
        <f t="shared" si="2"/>
        <v>206192</v>
      </c>
    </row>
    <row r="203" spans="1:11" s="874" customFormat="1" ht="76.5" customHeight="1">
      <c r="A203" s="893" t="s">
        <v>193</v>
      </c>
      <c r="B203" s="1083" t="s">
        <v>1476</v>
      </c>
      <c r="C203" s="1084"/>
      <c r="D203" s="1084"/>
      <c r="E203" s="1084"/>
      <c r="F203" s="1085"/>
      <c r="G203" s="894">
        <v>8100</v>
      </c>
      <c r="H203" s="896" t="s">
        <v>2445</v>
      </c>
      <c r="I203" s="873">
        <f>I1133</f>
        <v>6509.4</v>
      </c>
      <c r="J203" s="873">
        <f>J1133</f>
        <v>4339.5999999999995</v>
      </c>
      <c r="K203" s="873">
        <f t="shared" si="2"/>
        <v>10849</v>
      </c>
    </row>
    <row r="204" spans="1:11" s="874" customFormat="1" ht="76.5" customHeight="1">
      <c r="A204" s="893" t="s">
        <v>244</v>
      </c>
      <c r="B204" s="1083" t="s">
        <v>266</v>
      </c>
      <c r="C204" s="1084"/>
      <c r="D204" s="1084"/>
      <c r="E204" s="1084"/>
      <c r="F204" s="1085"/>
      <c r="G204" s="894">
        <v>8100</v>
      </c>
      <c r="H204" s="895">
        <v>169711</v>
      </c>
      <c r="I204" s="873">
        <f>I1135</f>
        <v>9496.7999999999993</v>
      </c>
      <c r="J204" s="873">
        <f>J1135</f>
        <v>6331.2</v>
      </c>
      <c r="K204" s="873">
        <f t="shared" si="2"/>
        <v>15828</v>
      </c>
    </row>
    <row r="205" spans="1:11" s="877" customFormat="1" ht="76.5" customHeight="1">
      <c r="A205" s="909"/>
      <c r="B205" s="910"/>
      <c r="C205" s="910"/>
      <c r="D205" s="910"/>
      <c r="E205" s="910"/>
      <c r="F205" s="910"/>
      <c r="G205" s="911"/>
      <c r="H205" s="912"/>
      <c r="I205" s="913"/>
      <c r="J205" s="913"/>
      <c r="K205" s="914"/>
    </row>
    <row r="206" spans="1:11" s="879" customFormat="1" ht="76.5" customHeight="1">
      <c r="A206" s="915" t="s">
        <v>200</v>
      </c>
      <c r="B206" s="916"/>
      <c r="C206" s="916"/>
      <c r="D206" s="916"/>
      <c r="E206" s="916"/>
      <c r="F206" s="916"/>
      <c r="G206" s="916"/>
      <c r="H206" s="917"/>
      <c r="I206" s="878">
        <f>I198+I156+I32+I151+I16+I165+I201+I147+I142+I38+I160+I194+I28+I12+I111+I36+I108+I176+I116+I137+I170+I24+I190+I49+I114+I88+I74+I93+I55+I100+I105+I79+I97+I59+I83+I43+I119+I20</f>
        <v>9371435.4680000003</v>
      </c>
      <c r="J206" s="878">
        <f>J198+J156+J32+J151+J16+J165+J201+J147+J142+J38+J160+J194+J28+J12+J111+J36+J108+J176+J116+J137+J170+J24+J190+J49+J114+J88+J74+J93+J55+J100+J105+J79+J97+J59+J83+J43+J119+J20</f>
        <v>5989844.311999999</v>
      </c>
      <c r="K206" s="878">
        <f>I206+J206</f>
        <v>15361279.779999999</v>
      </c>
    </row>
    <row r="207" spans="1:11" s="17" customFormat="1" ht="36.75" customHeight="1">
      <c r="A207" s="839"/>
      <c r="B207" s="839"/>
      <c r="C207" s="839"/>
      <c r="D207" s="839"/>
      <c r="E207" s="839"/>
      <c r="F207" s="839"/>
      <c r="G207" s="66"/>
      <c r="H207" s="66"/>
      <c r="I207" s="66"/>
      <c r="J207" s="66"/>
      <c r="K207" s="66"/>
    </row>
    <row r="208" spans="1:11" s="17" customFormat="1" ht="19.5" customHeight="1">
      <c r="A208" s="839"/>
      <c r="B208" s="839"/>
      <c r="C208" s="839"/>
      <c r="D208" s="839"/>
      <c r="E208" s="839"/>
      <c r="F208" s="839"/>
      <c r="G208" s="66"/>
      <c r="H208" s="66"/>
      <c r="I208" s="66"/>
      <c r="J208" s="66"/>
      <c r="K208" s="66"/>
    </row>
    <row r="209" spans="1:11" ht="45" hidden="1">
      <c r="A209" s="979" t="s">
        <v>51</v>
      </c>
      <c r="B209" s="979"/>
      <c r="C209" s="979"/>
      <c r="D209" s="979"/>
      <c r="E209" s="979"/>
      <c r="F209" s="979"/>
      <c r="G209" s="979"/>
      <c r="H209" s="979"/>
      <c r="I209" s="979"/>
      <c r="J209" s="979"/>
      <c r="K209" s="979"/>
    </row>
    <row r="210" spans="1:11" ht="45" hidden="1">
      <c r="A210" s="979" t="s">
        <v>52</v>
      </c>
      <c r="B210" s="979"/>
      <c r="C210" s="979"/>
      <c r="D210" s="979"/>
      <c r="E210" s="979"/>
      <c r="F210" s="979"/>
      <c r="G210" s="979"/>
      <c r="H210" s="979"/>
      <c r="I210" s="979"/>
      <c r="J210" s="979"/>
      <c r="K210" s="979"/>
    </row>
    <row r="211" spans="1:11" ht="45" hidden="1">
      <c r="A211" s="1040" t="s">
        <v>50</v>
      </c>
      <c r="B211" s="1040"/>
      <c r="C211" s="1040"/>
      <c r="D211" s="1040"/>
      <c r="E211" s="1040"/>
      <c r="F211" s="1040"/>
      <c r="G211" s="1040"/>
      <c r="H211" s="1040"/>
      <c r="I211" s="1040"/>
      <c r="J211" s="1040"/>
      <c r="K211" s="1040"/>
    </row>
    <row r="212" spans="1:11" ht="44.25" hidden="1">
      <c r="A212" s="736"/>
      <c r="B212" s="736"/>
      <c r="C212" s="736"/>
      <c r="D212" s="736"/>
      <c r="E212" s="736"/>
      <c r="F212" s="736"/>
      <c r="G212" s="838"/>
      <c r="H212" s="838"/>
      <c r="I212" s="838"/>
      <c r="J212" s="838"/>
      <c r="K212" s="838"/>
    </row>
    <row r="213" spans="1:11" ht="45" hidden="1">
      <c r="A213" s="979" t="s">
        <v>1489</v>
      </c>
      <c r="B213" s="979"/>
      <c r="C213" s="979"/>
      <c r="D213" s="979"/>
      <c r="E213" s="979"/>
      <c r="F213" s="979"/>
      <c r="G213" s="979"/>
      <c r="H213" s="979"/>
      <c r="I213" s="979"/>
      <c r="J213" s="979"/>
      <c r="K213" s="979"/>
    </row>
    <row r="214" spans="1:11" s="620" customFormat="1" ht="33" hidden="1">
      <c r="A214" s="65"/>
      <c r="B214" s="65"/>
      <c r="C214" s="65"/>
      <c r="D214" s="65"/>
      <c r="E214" s="65"/>
      <c r="F214" s="65"/>
      <c r="G214" s="68"/>
      <c r="H214" s="68"/>
      <c r="I214" s="68"/>
      <c r="J214" s="68"/>
      <c r="K214" s="68"/>
    </row>
    <row r="215" spans="1:11" ht="20.100000000000001" hidden="1" customHeight="1">
      <c r="A215" s="65"/>
      <c r="B215" s="65"/>
      <c r="C215" s="65"/>
      <c r="D215" s="65"/>
      <c r="E215" s="65"/>
      <c r="F215" s="65"/>
      <c r="G215" s="68"/>
      <c r="H215" s="68"/>
      <c r="I215" s="68"/>
      <c r="J215" s="68"/>
      <c r="K215" s="68"/>
    </row>
    <row r="216" spans="1:11" ht="20.100000000000001" hidden="1" customHeight="1">
      <c r="A216" s="979"/>
      <c r="B216" s="979"/>
      <c r="C216" s="979"/>
      <c r="D216" s="979"/>
      <c r="E216" s="979"/>
      <c r="F216" s="979"/>
      <c r="G216" s="979"/>
      <c r="H216" s="979"/>
      <c r="I216" s="979"/>
      <c r="J216" s="979"/>
      <c r="K216" s="979"/>
    </row>
    <row r="217" spans="1:11" ht="45.75" hidden="1" customHeight="1">
      <c r="A217" s="1029" t="s">
        <v>1380</v>
      </c>
      <c r="B217" s="1030"/>
      <c r="C217" s="1030"/>
      <c r="D217" s="1030"/>
      <c r="E217" s="1030"/>
      <c r="F217" s="1030"/>
      <c r="G217" s="1030"/>
      <c r="H217" s="1030"/>
      <c r="I217" s="1030"/>
      <c r="J217" s="1030"/>
      <c r="K217" s="1030"/>
    </row>
    <row r="218" spans="1:11" ht="66" hidden="1" customHeight="1">
      <c r="A218" s="1031" t="s">
        <v>37</v>
      </c>
      <c r="B218" s="1033"/>
      <c r="C218" s="1037" t="s">
        <v>178</v>
      </c>
      <c r="D218" s="1037" t="s">
        <v>179</v>
      </c>
      <c r="E218" s="1037" t="s">
        <v>1521</v>
      </c>
      <c r="F218" s="1037" t="s">
        <v>14</v>
      </c>
      <c r="G218" s="1037" t="s">
        <v>1515</v>
      </c>
      <c r="H218" s="1037" t="s">
        <v>16</v>
      </c>
      <c r="I218" s="1039" t="s">
        <v>1490</v>
      </c>
      <c r="J218" s="1039" t="s">
        <v>2203</v>
      </c>
      <c r="K218" s="1037" t="s">
        <v>200</v>
      </c>
    </row>
    <row r="219" spans="1:11" s="500" customFormat="1" ht="30" hidden="1">
      <c r="A219" s="1034"/>
      <c r="B219" s="1036"/>
      <c r="C219" s="1038"/>
      <c r="D219" s="1038"/>
      <c r="E219" s="1038"/>
      <c r="F219" s="1038"/>
      <c r="G219" s="1038"/>
      <c r="H219" s="1038"/>
      <c r="I219" s="1039"/>
      <c r="J219" s="1039"/>
      <c r="K219" s="1038"/>
    </row>
    <row r="220" spans="1:11" s="500" customFormat="1" ht="74.25" hidden="1" customHeight="1">
      <c r="A220" s="1102" t="s">
        <v>1704</v>
      </c>
      <c r="B220" s="1103"/>
      <c r="C220" s="729"/>
      <c r="D220" s="729"/>
      <c r="E220" s="726"/>
      <c r="F220" s="727"/>
      <c r="G220" s="728"/>
      <c r="H220" s="728"/>
      <c r="I220" s="642">
        <f>I221+I223+I230</f>
        <v>777544.2</v>
      </c>
      <c r="J220" s="642">
        <f>J221+J223+J230</f>
        <v>439528.8</v>
      </c>
      <c r="K220" s="642">
        <f>I220+J220</f>
        <v>1217073</v>
      </c>
    </row>
    <row r="221" spans="1:11" ht="75" hidden="1" customHeight="1">
      <c r="A221" s="1011" t="s">
        <v>1541</v>
      </c>
      <c r="B221" s="1013"/>
      <c r="C221" s="709"/>
      <c r="D221" s="709"/>
      <c r="E221" s="709"/>
      <c r="F221" s="708"/>
      <c r="G221" s="709"/>
      <c r="H221" s="710"/>
      <c r="I221" s="545">
        <f>SUM(I222:I222)</f>
        <v>36306.6</v>
      </c>
      <c r="J221" s="545">
        <f>SUM(J222:J222)</f>
        <v>24204.400000000001</v>
      </c>
      <c r="K221" s="545">
        <f>I221+J221</f>
        <v>60511</v>
      </c>
    </row>
    <row r="222" spans="1:11" s="510" customFormat="1" ht="74.25" hidden="1" customHeight="1">
      <c r="A222" s="1020" t="s">
        <v>1705</v>
      </c>
      <c r="B222" s="1022"/>
      <c r="C222" s="714" t="s">
        <v>1544</v>
      </c>
      <c r="D222" s="714"/>
      <c r="E222" s="714" t="s">
        <v>1544</v>
      </c>
      <c r="F222" s="829" t="s">
        <v>2220</v>
      </c>
      <c r="G222" s="827">
        <v>8100</v>
      </c>
      <c r="H222" s="828" t="s">
        <v>2273</v>
      </c>
      <c r="I222" s="717">
        <f>K222/100*60</f>
        <v>36306.6</v>
      </c>
      <c r="J222" s="717">
        <f>K222/100*40</f>
        <v>24204.400000000001</v>
      </c>
      <c r="K222" s="717">
        <v>60511</v>
      </c>
    </row>
    <row r="223" spans="1:11" ht="74.25" hidden="1" customHeight="1">
      <c r="A223" s="1011" t="s">
        <v>1706</v>
      </c>
      <c r="B223" s="1013"/>
      <c r="C223" s="504"/>
      <c r="D223" s="709"/>
      <c r="E223" s="709"/>
      <c r="F223" s="708"/>
      <c r="G223" s="709"/>
      <c r="H223" s="710"/>
      <c r="I223" s="545">
        <f>SUM(I224:I229)</f>
        <v>719843.4</v>
      </c>
      <c r="J223" s="545">
        <f>SUM(J224:J229)</f>
        <v>401061.6</v>
      </c>
      <c r="K223" s="545">
        <f>I223+J223</f>
        <v>1120905</v>
      </c>
    </row>
    <row r="224" spans="1:11" s="510" customFormat="1" ht="74.25" hidden="1" customHeight="1">
      <c r="A224" s="1020" t="s">
        <v>1759</v>
      </c>
      <c r="B224" s="1022"/>
      <c r="C224" s="714" t="s">
        <v>1544</v>
      </c>
      <c r="D224" s="714"/>
      <c r="E224" s="714" t="s">
        <v>1544</v>
      </c>
      <c r="F224" s="833" t="s">
        <v>2221</v>
      </c>
      <c r="G224" s="1047">
        <v>8100</v>
      </c>
      <c r="H224" s="1099" t="s">
        <v>2450</v>
      </c>
      <c r="I224" s="717">
        <f>557946-27967</f>
        <v>529979</v>
      </c>
      <c r="J224" s="717">
        <f>371964-6068</f>
        <v>365896</v>
      </c>
      <c r="K224" s="717">
        <v>929910</v>
      </c>
    </row>
    <row r="225" spans="1:11" s="510" customFormat="1" ht="74.25" hidden="1" customHeight="1">
      <c r="A225" s="1059" t="s">
        <v>1760</v>
      </c>
      <c r="B225" s="1061"/>
      <c r="C225" s="789" t="s">
        <v>1544</v>
      </c>
      <c r="D225" s="789"/>
      <c r="E225" s="789" t="s">
        <v>1544</v>
      </c>
      <c r="F225" s="833" t="s">
        <v>2222</v>
      </c>
      <c r="G225" s="1048"/>
      <c r="H225" s="1100"/>
      <c r="I225" s="717">
        <v>109371</v>
      </c>
      <c r="J225" s="717"/>
      <c r="K225" s="717">
        <v>113091</v>
      </c>
    </row>
    <row r="226" spans="1:11" s="510" customFormat="1" ht="74.25" hidden="1" customHeight="1">
      <c r="A226" s="1020" t="s">
        <v>1707</v>
      </c>
      <c r="B226" s="1022"/>
      <c r="C226" s="714" t="s">
        <v>1544</v>
      </c>
      <c r="D226" s="714"/>
      <c r="E226" s="714" t="s">
        <v>1544</v>
      </c>
      <c r="F226" s="833" t="s">
        <v>2223</v>
      </c>
      <c r="G226" s="1049"/>
      <c r="H226" s="1101"/>
      <c r="I226" s="717">
        <f>K226/100*60</f>
        <v>52748.4</v>
      </c>
      <c r="J226" s="717">
        <f>K226/100*40</f>
        <v>35165.599999999999</v>
      </c>
      <c r="K226" s="717">
        <v>87914</v>
      </c>
    </row>
    <row r="227" spans="1:11" s="510" customFormat="1" ht="21.75" hidden="1" customHeight="1">
      <c r="A227" s="825"/>
      <c r="B227" s="826"/>
      <c r="C227" s="714"/>
      <c r="D227" s="714"/>
      <c r="E227" s="714"/>
      <c r="F227" s="833"/>
      <c r="G227" s="831"/>
      <c r="H227" s="832"/>
      <c r="I227" s="717"/>
      <c r="J227" s="717"/>
      <c r="K227" s="717"/>
    </row>
    <row r="228" spans="1:11" s="510" customFormat="1" ht="74.25" hidden="1" customHeight="1">
      <c r="A228" s="1008" t="s">
        <v>2482</v>
      </c>
      <c r="B228" s="1010"/>
      <c r="C228" s="818" t="s">
        <v>1544</v>
      </c>
      <c r="D228" s="818"/>
      <c r="E228" s="818" t="s">
        <v>1544</v>
      </c>
      <c r="F228" s="810"/>
      <c r="G228" s="815"/>
      <c r="H228" s="816"/>
      <c r="I228" s="817">
        <v>23361</v>
      </c>
      <c r="J228" s="817"/>
      <c r="K228" s="817">
        <f>I228+J228</f>
        <v>23361</v>
      </c>
    </row>
    <row r="229" spans="1:11" s="510" customFormat="1" ht="74.25" hidden="1" customHeight="1">
      <c r="A229" s="1096" t="s">
        <v>2483</v>
      </c>
      <c r="B229" s="1097"/>
      <c r="C229" s="814" t="s">
        <v>1544</v>
      </c>
      <c r="D229" s="814"/>
      <c r="E229" s="814" t="s">
        <v>1544</v>
      </c>
      <c r="F229" s="810"/>
      <c r="G229" s="815"/>
      <c r="H229" s="816"/>
      <c r="I229" s="817">
        <v>4384</v>
      </c>
      <c r="J229" s="817"/>
      <c r="K229" s="817">
        <f>I229+J229</f>
        <v>4384</v>
      </c>
    </row>
    <row r="230" spans="1:11" ht="73.5" hidden="1" customHeight="1">
      <c r="A230" s="1011" t="s">
        <v>312</v>
      </c>
      <c r="B230" s="1013"/>
      <c r="C230" s="709"/>
      <c r="D230" s="709"/>
      <c r="E230" s="709"/>
      <c r="F230" s="708"/>
      <c r="G230" s="709"/>
      <c r="H230" s="710"/>
      <c r="I230" s="545">
        <f>I231</f>
        <v>21394.2</v>
      </c>
      <c r="J230" s="545">
        <f>J231</f>
        <v>14262.8</v>
      </c>
      <c r="K230" s="545">
        <f>I230+J230</f>
        <v>35657</v>
      </c>
    </row>
    <row r="231" spans="1:11" s="510" customFormat="1" ht="74.25" hidden="1" customHeight="1">
      <c r="A231" s="1020" t="s">
        <v>1708</v>
      </c>
      <c r="B231" s="1022"/>
      <c r="C231" s="714" t="s">
        <v>1544</v>
      </c>
      <c r="D231" s="714"/>
      <c r="E231" s="714" t="s">
        <v>1544</v>
      </c>
      <c r="F231" s="833" t="s">
        <v>2224</v>
      </c>
      <c r="G231" s="835">
        <v>8100</v>
      </c>
      <c r="H231" s="834" t="s">
        <v>2273</v>
      </c>
      <c r="I231" s="717">
        <f>K231/100*60</f>
        <v>21394.2</v>
      </c>
      <c r="J231" s="717">
        <f>K231/100*40</f>
        <v>14262.8</v>
      </c>
      <c r="K231" s="717">
        <v>35657</v>
      </c>
    </row>
    <row r="232" spans="1:11" s="510" customFormat="1" ht="37.5" hidden="1">
      <c r="A232" s="1098" t="s">
        <v>2455</v>
      </c>
      <c r="B232" s="1098"/>
      <c r="C232" s="1098"/>
      <c r="D232" s="1098"/>
      <c r="E232" s="1098"/>
      <c r="F232" s="1098"/>
      <c r="G232" s="1098"/>
      <c r="H232" s="1098"/>
      <c r="I232" s="852"/>
      <c r="J232" s="852"/>
      <c r="K232" s="852"/>
    </row>
    <row r="233" spans="1:11" s="854" customFormat="1" ht="49.5" hidden="1" customHeight="1">
      <c r="A233" s="1098" t="s">
        <v>2456</v>
      </c>
      <c r="B233" s="1098"/>
      <c r="C233" s="1098"/>
      <c r="D233" s="1098"/>
      <c r="E233" s="1098"/>
      <c r="F233" s="1098"/>
      <c r="G233" s="1098"/>
      <c r="H233" s="1098"/>
      <c r="I233" s="757"/>
      <c r="J233" s="757"/>
      <c r="K233" s="757"/>
    </row>
    <row r="234" spans="1:11" s="510" customFormat="1" ht="27" hidden="1" customHeight="1">
      <c r="A234" s="753"/>
      <c r="B234" s="753"/>
      <c r="C234" s="754"/>
      <c r="D234" s="754"/>
      <c r="E234" s="754"/>
      <c r="F234" s="861"/>
      <c r="G234" s="758"/>
      <c r="H234" s="756"/>
      <c r="I234" s="757"/>
      <c r="J234" s="757"/>
      <c r="K234" s="757"/>
    </row>
    <row r="235" spans="1:11" s="743" customFormat="1" ht="36.75" hidden="1" customHeight="1">
      <c r="A235" s="1105"/>
      <c r="B235" s="1106"/>
      <c r="C235" s="856"/>
      <c r="D235" s="856"/>
      <c r="E235" s="857"/>
      <c r="F235" s="858"/>
      <c r="G235" s="859"/>
      <c r="H235" s="859"/>
      <c r="I235" s="860"/>
      <c r="J235" s="860"/>
      <c r="K235" s="860"/>
    </row>
    <row r="236" spans="1:11" ht="66" hidden="1" customHeight="1">
      <c r="A236" s="1031" t="s">
        <v>37</v>
      </c>
      <c r="B236" s="1033"/>
      <c r="C236" s="1037" t="s">
        <v>178</v>
      </c>
      <c r="D236" s="1037" t="s">
        <v>179</v>
      </c>
      <c r="E236" s="1037" t="s">
        <v>1521</v>
      </c>
      <c r="F236" s="1037" t="s">
        <v>14</v>
      </c>
      <c r="G236" s="1037" t="s">
        <v>1515</v>
      </c>
      <c r="H236" s="1037" t="s">
        <v>16</v>
      </c>
      <c r="I236" s="1039" t="s">
        <v>1490</v>
      </c>
      <c r="J236" s="1039" t="s">
        <v>2203</v>
      </c>
      <c r="K236" s="1037" t="s">
        <v>200</v>
      </c>
    </row>
    <row r="237" spans="1:11" s="500" customFormat="1" ht="30" hidden="1">
      <c r="A237" s="1034"/>
      <c r="B237" s="1036"/>
      <c r="C237" s="1038"/>
      <c r="D237" s="1038"/>
      <c r="E237" s="1038"/>
      <c r="F237" s="1038"/>
      <c r="G237" s="1038"/>
      <c r="H237" s="1038"/>
      <c r="I237" s="1039"/>
      <c r="J237" s="1039"/>
      <c r="K237" s="1038"/>
    </row>
    <row r="238" spans="1:11" s="500" customFormat="1" ht="74.25" hidden="1" customHeight="1">
      <c r="A238" s="1102" t="s">
        <v>1709</v>
      </c>
      <c r="B238" s="1103"/>
      <c r="C238" s="729"/>
      <c r="D238" s="729"/>
      <c r="E238" s="726"/>
      <c r="F238" s="727"/>
      <c r="G238" s="728"/>
      <c r="H238" s="728"/>
      <c r="I238" s="642">
        <f>I239+I256+I259</f>
        <v>805472</v>
      </c>
      <c r="J238" s="642">
        <f>J239+J256+J259</f>
        <v>438818</v>
      </c>
      <c r="K238" s="642">
        <f>I238+J238</f>
        <v>1244290</v>
      </c>
    </row>
    <row r="239" spans="1:11" ht="74.25" hidden="1" customHeight="1">
      <c r="A239" s="1011" t="s">
        <v>332</v>
      </c>
      <c r="B239" s="1013"/>
      <c r="C239" s="504"/>
      <c r="D239" s="709"/>
      <c r="E239" s="709"/>
      <c r="F239" s="708"/>
      <c r="G239" s="709"/>
      <c r="H239" s="710"/>
      <c r="I239" s="545">
        <f>SUM(I240:I255)</f>
        <v>644329</v>
      </c>
      <c r="J239" s="545">
        <f>SUM(J240:J255)</f>
        <v>332188</v>
      </c>
      <c r="K239" s="545">
        <f>I239+J239</f>
        <v>976517</v>
      </c>
    </row>
    <row r="240" spans="1:11" s="510" customFormat="1" ht="74.25" hidden="1" customHeight="1">
      <c r="A240" s="1059" t="s">
        <v>1753</v>
      </c>
      <c r="B240" s="1061"/>
      <c r="C240" s="789" t="s">
        <v>1727</v>
      </c>
      <c r="D240" s="789">
        <v>18</v>
      </c>
      <c r="E240" s="789" t="s">
        <v>1728</v>
      </c>
      <c r="F240" s="833" t="s">
        <v>2237</v>
      </c>
      <c r="G240" s="1047">
        <v>8100</v>
      </c>
      <c r="H240" s="1047">
        <v>169708</v>
      </c>
      <c r="I240" s="717">
        <f>120694+8056</f>
        <v>128750</v>
      </c>
      <c r="J240" s="717"/>
      <c r="K240" s="717">
        <v>120694</v>
      </c>
    </row>
    <row r="241" spans="1:11" s="510" customFormat="1" ht="74.25" hidden="1" customHeight="1">
      <c r="A241" s="1020" t="s">
        <v>1741</v>
      </c>
      <c r="B241" s="1022"/>
      <c r="C241" s="714" t="s">
        <v>1742</v>
      </c>
      <c r="D241" s="714">
        <v>4</v>
      </c>
      <c r="E241" s="714" t="s">
        <v>1729</v>
      </c>
      <c r="F241" s="1104" t="s">
        <v>2226</v>
      </c>
      <c r="G241" s="1048"/>
      <c r="H241" s="1048"/>
      <c r="I241" s="717">
        <f t="shared" ref="I241:I251" si="3">K241/100*60</f>
        <v>6900</v>
      </c>
      <c r="J241" s="717">
        <f t="shared" ref="J241:J251" si="4">K241/100*40</f>
        <v>4600</v>
      </c>
      <c r="K241" s="717">
        <v>11500</v>
      </c>
    </row>
    <row r="242" spans="1:11" s="510" customFormat="1" ht="74.25" hidden="1" customHeight="1">
      <c r="A242" s="1020" t="s">
        <v>1743</v>
      </c>
      <c r="B242" s="1022"/>
      <c r="C242" s="714" t="s">
        <v>1730</v>
      </c>
      <c r="D242" s="714">
        <v>5</v>
      </c>
      <c r="E242" s="714" t="s">
        <v>1731</v>
      </c>
      <c r="F242" s="1104"/>
      <c r="G242" s="1048"/>
      <c r="H242" s="1048"/>
      <c r="I242" s="717">
        <f t="shared" si="3"/>
        <v>10500</v>
      </c>
      <c r="J242" s="717">
        <f t="shared" si="4"/>
        <v>7000</v>
      </c>
      <c r="K242" s="717">
        <v>17500</v>
      </c>
    </row>
    <row r="243" spans="1:11" s="510" customFormat="1" ht="74.25" hidden="1" customHeight="1">
      <c r="A243" s="1020" t="s">
        <v>1744</v>
      </c>
      <c r="B243" s="1022"/>
      <c r="C243" s="714" t="s">
        <v>1732</v>
      </c>
      <c r="D243" s="714">
        <v>20</v>
      </c>
      <c r="E243" s="714" t="s">
        <v>1733</v>
      </c>
      <c r="F243" s="1104"/>
      <c r="G243" s="1048"/>
      <c r="H243" s="1048"/>
      <c r="I243" s="717">
        <f t="shared" si="3"/>
        <v>17400</v>
      </c>
      <c r="J243" s="717">
        <f t="shared" si="4"/>
        <v>11600</v>
      </c>
      <c r="K243" s="717">
        <v>29000</v>
      </c>
    </row>
    <row r="244" spans="1:11" s="510" customFormat="1" ht="74.25" hidden="1" customHeight="1">
      <c r="A244" s="1020" t="s">
        <v>1745</v>
      </c>
      <c r="B244" s="1022"/>
      <c r="C244" s="714" t="s">
        <v>1718</v>
      </c>
      <c r="D244" s="714">
        <v>3</v>
      </c>
      <c r="E244" s="714" t="s">
        <v>1731</v>
      </c>
      <c r="F244" s="1104"/>
      <c r="G244" s="1048"/>
      <c r="H244" s="1048"/>
      <c r="I244" s="717">
        <f t="shared" si="3"/>
        <v>7200</v>
      </c>
      <c r="J244" s="717">
        <f t="shared" si="4"/>
        <v>4800</v>
      </c>
      <c r="K244" s="717">
        <v>12000</v>
      </c>
    </row>
    <row r="245" spans="1:11" s="510" customFormat="1" ht="74.25" hidden="1" customHeight="1">
      <c r="A245" s="1020" t="s">
        <v>1746</v>
      </c>
      <c r="B245" s="1022"/>
      <c r="C245" s="714" t="s">
        <v>1716</v>
      </c>
      <c r="D245" s="714">
        <v>15</v>
      </c>
      <c r="E245" s="714" t="s">
        <v>1717</v>
      </c>
      <c r="F245" s="1104"/>
      <c r="G245" s="1048"/>
      <c r="H245" s="1048"/>
      <c r="I245" s="717">
        <f t="shared" si="3"/>
        <v>80400</v>
      </c>
      <c r="J245" s="717">
        <f t="shared" si="4"/>
        <v>53600</v>
      </c>
      <c r="K245" s="717">
        <v>134000</v>
      </c>
    </row>
    <row r="246" spans="1:11" s="510" customFormat="1" ht="74.25" hidden="1" customHeight="1">
      <c r="A246" s="1020" t="s">
        <v>1747</v>
      </c>
      <c r="B246" s="1022"/>
      <c r="C246" s="714" t="s">
        <v>1734</v>
      </c>
      <c r="D246" s="714">
        <v>90</v>
      </c>
      <c r="E246" s="714" t="s">
        <v>1731</v>
      </c>
      <c r="F246" s="833" t="s">
        <v>2238</v>
      </c>
      <c r="G246" s="1048"/>
      <c r="H246" s="1048"/>
      <c r="I246" s="717">
        <f t="shared" si="3"/>
        <v>48000</v>
      </c>
      <c r="J246" s="717">
        <f t="shared" si="4"/>
        <v>32000</v>
      </c>
      <c r="K246" s="717">
        <v>80000</v>
      </c>
    </row>
    <row r="247" spans="1:11" s="510" customFormat="1" ht="74.25" hidden="1" customHeight="1">
      <c r="A247" s="1020" t="s">
        <v>1748</v>
      </c>
      <c r="B247" s="1022"/>
      <c r="C247" s="714" t="s">
        <v>1735</v>
      </c>
      <c r="D247" s="714">
        <v>32</v>
      </c>
      <c r="E247" s="714" t="s">
        <v>1728</v>
      </c>
      <c r="F247" s="1104" t="s">
        <v>2239</v>
      </c>
      <c r="G247" s="1048"/>
      <c r="H247" s="1048"/>
      <c r="I247" s="717">
        <f t="shared" si="3"/>
        <v>51600</v>
      </c>
      <c r="J247" s="717">
        <f t="shared" si="4"/>
        <v>34400</v>
      </c>
      <c r="K247" s="717">
        <v>86000</v>
      </c>
    </row>
    <row r="248" spans="1:11" s="510" customFormat="1" ht="74.25" hidden="1" customHeight="1">
      <c r="A248" s="1020" t="s">
        <v>1749</v>
      </c>
      <c r="B248" s="1022"/>
      <c r="C248" s="714" t="s">
        <v>1736</v>
      </c>
      <c r="D248" s="714">
        <v>68</v>
      </c>
      <c r="E248" s="714" t="s">
        <v>1728</v>
      </c>
      <c r="F248" s="1104"/>
      <c r="G248" s="1048"/>
      <c r="H248" s="1048"/>
      <c r="I248" s="717">
        <f t="shared" si="3"/>
        <v>37200</v>
      </c>
      <c r="J248" s="717">
        <f t="shared" si="4"/>
        <v>24800</v>
      </c>
      <c r="K248" s="717">
        <v>62000</v>
      </c>
    </row>
    <row r="249" spans="1:11" s="510" customFormat="1" ht="74.25" hidden="1" customHeight="1">
      <c r="A249" s="1020" t="s">
        <v>1750</v>
      </c>
      <c r="B249" s="1022"/>
      <c r="C249" s="714" t="s">
        <v>1737</v>
      </c>
      <c r="D249" s="714">
        <v>70</v>
      </c>
      <c r="E249" s="714" t="s">
        <v>1728</v>
      </c>
      <c r="F249" s="1104"/>
      <c r="G249" s="1048"/>
      <c r="H249" s="1048"/>
      <c r="I249" s="717">
        <f>227121-34414</f>
        <v>192707</v>
      </c>
      <c r="J249" s="717">
        <f>151414-5026</f>
        <v>146388</v>
      </c>
      <c r="K249" s="717">
        <f>I249+J249</f>
        <v>339095</v>
      </c>
    </row>
    <row r="250" spans="1:11" s="510" customFormat="1" ht="74.25" hidden="1" customHeight="1">
      <c r="A250" s="1020" t="s">
        <v>1751</v>
      </c>
      <c r="B250" s="1022"/>
      <c r="C250" s="714" t="s">
        <v>1738</v>
      </c>
      <c r="D250" s="714">
        <v>20</v>
      </c>
      <c r="E250" s="714" t="s">
        <v>1728</v>
      </c>
      <c r="F250" s="1104" t="s">
        <v>2240</v>
      </c>
      <c r="G250" s="1048"/>
      <c r="H250" s="1048"/>
      <c r="I250" s="717">
        <f t="shared" si="3"/>
        <v>13800</v>
      </c>
      <c r="J250" s="717">
        <f t="shared" si="4"/>
        <v>9200</v>
      </c>
      <c r="K250" s="717">
        <v>23000</v>
      </c>
    </row>
    <row r="251" spans="1:11" s="510" customFormat="1" ht="74.25" hidden="1" customHeight="1">
      <c r="A251" s="1020" t="s">
        <v>1752</v>
      </c>
      <c r="B251" s="1022"/>
      <c r="C251" s="714" t="s">
        <v>1739</v>
      </c>
      <c r="D251" s="714">
        <v>12</v>
      </c>
      <c r="E251" s="714" t="s">
        <v>1728</v>
      </c>
      <c r="F251" s="1104"/>
      <c r="G251" s="1048"/>
      <c r="H251" s="1048"/>
      <c r="I251" s="717">
        <f t="shared" si="3"/>
        <v>5700</v>
      </c>
      <c r="J251" s="717">
        <f t="shared" si="4"/>
        <v>3800</v>
      </c>
      <c r="K251" s="717">
        <v>9500</v>
      </c>
    </row>
    <row r="252" spans="1:11" s="510" customFormat="1" ht="74.25" hidden="1" customHeight="1">
      <c r="A252" s="1020" t="s">
        <v>1754</v>
      </c>
      <c r="B252" s="1022"/>
      <c r="C252" s="714" t="s">
        <v>1740</v>
      </c>
      <c r="D252" s="714">
        <v>2</v>
      </c>
      <c r="E252" s="714" t="s">
        <v>1728</v>
      </c>
      <c r="F252" s="1104"/>
      <c r="G252" s="1049"/>
      <c r="H252" s="1049"/>
      <c r="I252" s="717">
        <v>20000</v>
      </c>
      <c r="J252" s="717"/>
      <c r="K252" s="717">
        <v>20000</v>
      </c>
    </row>
    <row r="253" spans="1:11" s="510" customFormat="1" ht="24" hidden="1" customHeight="1">
      <c r="A253" s="825"/>
      <c r="B253" s="826"/>
      <c r="C253" s="714"/>
      <c r="D253" s="714"/>
      <c r="E253" s="714"/>
      <c r="F253" s="833"/>
      <c r="G253" s="831"/>
      <c r="H253" s="831"/>
      <c r="I253" s="717"/>
      <c r="J253" s="717"/>
      <c r="K253" s="717"/>
    </row>
    <row r="254" spans="1:11" s="510" customFormat="1" ht="74.25" hidden="1" customHeight="1">
      <c r="A254" s="1008" t="s">
        <v>2481</v>
      </c>
      <c r="B254" s="1010"/>
      <c r="C254" s="818"/>
      <c r="D254" s="818"/>
      <c r="E254" s="818"/>
      <c r="F254" s="810"/>
      <c r="G254" s="815"/>
      <c r="H254" s="815"/>
      <c r="I254" s="817">
        <v>20352</v>
      </c>
      <c r="J254" s="817"/>
      <c r="K254" s="817">
        <f>I254+J254</f>
        <v>20352</v>
      </c>
    </row>
    <row r="255" spans="1:11" s="510" customFormat="1" ht="74.25" hidden="1" customHeight="1">
      <c r="A255" s="1096" t="s">
        <v>2480</v>
      </c>
      <c r="B255" s="1097"/>
      <c r="C255" s="814"/>
      <c r="D255" s="814"/>
      <c r="E255" s="814"/>
      <c r="F255" s="810"/>
      <c r="G255" s="815"/>
      <c r="H255" s="815"/>
      <c r="I255" s="817">
        <v>3820</v>
      </c>
      <c r="J255" s="817"/>
      <c r="K255" s="817">
        <v>120694</v>
      </c>
    </row>
    <row r="256" spans="1:11" ht="74.25" hidden="1" customHeight="1">
      <c r="A256" s="1011" t="s">
        <v>481</v>
      </c>
      <c r="B256" s="1013"/>
      <c r="C256" s="504"/>
      <c r="D256" s="709"/>
      <c r="E256" s="709"/>
      <c r="F256" s="708"/>
      <c r="G256" s="709"/>
      <c r="H256" s="710"/>
      <c r="I256" s="545">
        <f>SUM(I257:I258)</f>
        <v>157196</v>
      </c>
      <c r="J256" s="545">
        <f>SUM(J257:J258)</f>
        <v>103915</v>
      </c>
      <c r="K256" s="545">
        <f t="shared" ref="K256:K261" si="5">I256+J256</f>
        <v>261111</v>
      </c>
    </row>
    <row r="257" spans="1:11" s="510" customFormat="1" ht="74.25" hidden="1" customHeight="1">
      <c r="A257" s="1020" t="s">
        <v>1755</v>
      </c>
      <c r="B257" s="1022"/>
      <c r="C257" s="714" t="s">
        <v>1756</v>
      </c>
      <c r="D257" s="714">
        <v>100</v>
      </c>
      <c r="E257" s="714" t="s">
        <v>1731</v>
      </c>
      <c r="F257" s="833" t="s">
        <v>2228</v>
      </c>
      <c r="G257" s="834" t="s">
        <v>1321</v>
      </c>
      <c r="H257" s="834" t="s">
        <v>2451</v>
      </c>
      <c r="I257" s="717">
        <v>150985</v>
      </c>
      <c r="J257" s="717">
        <v>103915</v>
      </c>
      <c r="K257" s="717">
        <f t="shared" si="5"/>
        <v>254900</v>
      </c>
    </row>
    <row r="258" spans="1:11" s="510" customFormat="1" ht="74.25" hidden="1" customHeight="1">
      <c r="A258" s="1008" t="s">
        <v>2479</v>
      </c>
      <c r="B258" s="1010"/>
      <c r="C258" s="818"/>
      <c r="D258" s="818"/>
      <c r="E258" s="818"/>
      <c r="F258" s="810"/>
      <c r="G258" s="812"/>
      <c r="H258" s="812"/>
      <c r="I258" s="817">
        <v>6211</v>
      </c>
      <c r="J258" s="817"/>
      <c r="K258" s="817">
        <f t="shared" si="5"/>
        <v>6211</v>
      </c>
    </row>
    <row r="259" spans="1:11" ht="74.25" hidden="1" customHeight="1">
      <c r="A259" s="1011" t="s">
        <v>1248</v>
      </c>
      <c r="B259" s="1107"/>
      <c r="C259" s="504"/>
      <c r="D259" s="709"/>
      <c r="E259" s="709"/>
      <c r="F259" s="708"/>
      <c r="G259" s="709"/>
      <c r="H259" s="710"/>
      <c r="I259" s="545">
        <f>SUM(I260:I261)</f>
        <v>3947</v>
      </c>
      <c r="J259" s="545">
        <f>SUM(J260:J261)</f>
        <v>2715</v>
      </c>
      <c r="K259" s="545">
        <f t="shared" si="5"/>
        <v>6662</v>
      </c>
    </row>
    <row r="260" spans="1:11" s="510" customFormat="1" ht="74.25" hidden="1" customHeight="1">
      <c r="A260" s="1020" t="s">
        <v>1757</v>
      </c>
      <c r="B260" s="1022"/>
      <c r="C260" s="714" t="s">
        <v>1756</v>
      </c>
      <c r="D260" s="714">
        <v>2</v>
      </c>
      <c r="E260" s="714" t="s">
        <v>1731</v>
      </c>
      <c r="F260" s="1044" t="s">
        <v>2227</v>
      </c>
      <c r="G260" s="1099" t="s">
        <v>1321</v>
      </c>
      <c r="H260" s="1099" t="s">
        <v>2447</v>
      </c>
      <c r="I260" s="717">
        <v>1656</v>
      </c>
      <c r="J260" s="717">
        <v>1139</v>
      </c>
      <c r="K260" s="717">
        <f t="shared" si="5"/>
        <v>2795</v>
      </c>
    </row>
    <row r="261" spans="1:11" s="510" customFormat="1" ht="74.25" hidden="1" customHeight="1">
      <c r="A261" s="1020" t="s">
        <v>1758</v>
      </c>
      <c r="B261" s="1022"/>
      <c r="C261" s="714" t="s">
        <v>1734</v>
      </c>
      <c r="D261" s="714">
        <v>5</v>
      </c>
      <c r="E261" s="714" t="s">
        <v>1731</v>
      </c>
      <c r="F261" s="1046"/>
      <c r="G261" s="1101"/>
      <c r="H261" s="1101"/>
      <c r="I261" s="717">
        <v>2291</v>
      </c>
      <c r="J261" s="717">
        <v>1576</v>
      </c>
      <c r="K261" s="717">
        <f t="shared" si="5"/>
        <v>3867</v>
      </c>
    </row>
    <row r="262" spans="1:11" s="510" customFormat="1" ht="74.25" hidden="1" customHeight="1">
      <c r="A262" s="753"/>
      <c r="B262" s="753"/>
      <c r="C262" s="754"/>
      <c r="D262" s="754"/>
      <c r="E262" s="754"/>
      <c r="F262" s="755"/>
      <c r="G262" s="756"/>
      <c r="H262" s="756"/>
      <c r="I262" s="757"/>
      <c r="J262" s="757"/>
      <c r="K262" s="757"/>
    </row>
    <row r="263" spans="1:11" s="510" customFormat="1" ht="74.25" hidden="1" customHeight="1">
      <c r="A263" s="753"/>
      <c r="B263" s="753"/>
      <c r="C263" s="754"/>
      <c r="D263" s="754"/>
      <c r="E263" s="754"/>
      <c r="F263" s="755"/>
      <c r="G263" s="756"/>
      <c r="H263" s="756"/>
      <c r="I263" s="757"/>
      <c r="J263" s="757"/>
      <c r="K263" s="757"/>
    </row>
    <row r="264" spans="1:11" s="510" customFormat="1" ht="74.25" hidden="1" customHeight="1">
      <c r="A264" s="753"/>
      <c r="B264" s="753"/>
      <c r="C264" s="754"/>
      <c r="D264" s="754"/>
      <c r="E264" s="754"/>
      <c r="F264" s="755"/>
      <c r="G264" s="756"/>
      <c r="H264" s="756"/>
      <c r="I264" s="757"/>
      <c r="J264" s="757"/>
      <c r="K264" s="757"/>
    </row>
    <row r="265" spans="1:11" ht="34.5" hidden="1" customHeight="1">
      <c r="A265" s="1128" t="s">
        <v>51</v>
      </c>
      <c r="B265" s="1128"/>
      <c r="C265" s="1128"/>
      <c r="D265" s="1128"/>
      <c r="E265" s="1128"/>
      <c r="F265" s="1128"/>
      <c r="G265" s="1128"/>
      <c r="H265" s="1128"/>
      <c r="I265" s="1128"/>
      <c r="J265" s="1128"/>
      <c r="K265" s="1128"/>
    </row>
    <row r="266" spans="1:11" ht="30.75" hidden="1" customHeight="1">
      <c r="A266" s="1128" t="s">
        <v>52</v>
      </c>
      <c r="B266" s="1128"/>
      <c r="C266" s="1128"/>
      <c r="D266" s="1128"/>
      <c r="E266" s="1128"/>
      <c r="F266" s="1128"/>
      <c r="G266" s="1128"/>
      <c r="H266" s="1128"/>
      <c r="I266" s="1128"/>
      <c r="J266" s="1128"/>
      <c r="K266" s="1128"/>
    </row>
    <row r="267" spans="1:11" ht="33" hidden="1" customHeight="1">
      <c r="A267" s="1132" t="s">
        <v>50</v>
      </c>
      <c r="B267" s="1132"/>
      <c r="C267" s="1132"/>
      <c r="D267" s="1132"/>
      <c r="E267" s="1132"/>
      <c r="F267" s="1132"/>
      <c r="G267" s="1132"/>
      <c r="H267" s="1132"/>
      <c r="I267" s="1132"/>
      <c r="J267" s="1132"/>
      <c r="K267" s="1132"/>
    </row>
    <row r="268" spans="1:11" ht="33" hidden="1" customHeight="1">
      <c r="A268" s="154"/>
      <c r="B268" s="154"/>
      <c r="C268" s="154"/>
      <c r="D268" s="154"/>
      <c r="E268" s="154"/>
      <c r="F268" s="154"/>
      <c r="G268" s="707"/>
      <c r="H268" s="707"/>
      <c r="I268" s="707"/>
      <c r="J268" s="707"/>
      <c r="K268" s="707"/>
    </row>
    <row r="269" spans="1:11" ht="35.25" hidden="1">
      <c r="A269" s="1128" t="s">
        <v>1489</v>
      </c>
      <c r="B269" s="1128"/>
      <c r="C269" s="1128"/>
      <c r="D269" s="1128"/>
      <c r="E269" s="1128"/>
      <c r="F269" s="1128"/>
      <c r="G269" s="1128"/>
      <c r="H269" s="1128"/>
      <c r="I269" s="1128"/>
      <c r="J269" s="1128"/>
      <c r="K269" s="1128"/>
    </row>
    <row r="270" spans="1:11" s="620" customFormat="1" ht="33" hidden="1">
      <c r="A270" s="65"/>
      <c r="B270" s="65"/>
      <c r="C270" s="65"/>
      <c r="D270" s="65"/>
      <c r="E270" s="65"/>
      <c r="F270" s="65"/>
      <c r="G270" s="68"/>
      <c r="H270" s="68"/>
      <c r="I270" s="68"/>
      <c r="J270" s="68"/>
      <c r="K270" s="68"/>
    </row>
    <row r="271" spans="1:11" ht="20.100000000000001" hidden="1" customHeight="1">
      <c r="A271" s="65"/>
      <c r="B271" s="65"/>
      <c r="C271" s="65"/>
      <c r="D271" s="65"/>
      <c r="E271" s="65"/>
      <c r="F271" s="65"/>
      <c r="G271" s="68"/>
      <c r="H271" s="68"/>
      <c r="I271" s="68"/>
      <c r="J271" s="68"/>
      <c r="K271" s="68"/>
    </row>
    <row r="272" spans="1:11" ht="20.100000000000001" hidden="1" customHeight="1">
      <c r="A272" s="979"/>
      <c r="B272" s="979"/>
      <c r="C272" s="979"/>
      <c r="D272" s="979"/>
      <c r="E272" s="979"/>
      <c r="F272" s="979"/>
      <c r="G272" s="979"/>
      <c r="H272" s="979"/>
      <c r="I272" s="979"/>
      <c r="J272" s="979"/>
      <c r="K272" s="979"/>
    </row>
    <row r="273" spans="1:11" ht="45.75" hidden="1" customHeight="1">
      <c r="A273" s="1030" t="s">
        <v>1381</v>
      </c>
      <c r="B273" s="1030"/>
      <c r="C273" s="1030"/>
      <c r="D273" s="1030"/>
      <c r="E273" s="1030"/>
      <c r="F273" s="1030"/>
      <c r="G273" s="1030"/>
      <c r="H273" s="1030"/>
      <c r="I273" s="1030"/>
      <c r="J273" s="1030"/>
      <c r="K273" s="1030"/>
    </row>
    <row r="274" spans="1:11" ht="66" hidden="1" customHeight="1">
      <c r="A274" s="1031" t="s">
        <v>37</v>
      </c>
      <c r="B274" s="1033"/>
      <c r="C274" s="1037" t="s">
        <v>178</v>
      </c>
      <c r="D274" s="1037" t="s">
        <v>179</v>
      </c>
      <c r="E274" s="1037" t="s">
        <v>1521</v>
      </c>
      <c r="F274" s="1037" t="s">
        <v>14</v>
      </c>
      <c r="G274" s="1037" t="s">
        <v>1515</v>
      </c>
      <c r="H274" s="1037" t="s">
        <v>16</v>
      </c>
      <c r="I274" s="1039" t="s">
        <v>1490</v>
      </c>
      <c r="J274" s="1039" t="s">
        <v>2203</v>
      </c>
      <c r="K274" s="1037" t="s">
        <v>200</v>
      </c>
    </row>
    <row r="275" spans="1:11" s="500" customFormat="1" ht="30" hidden="1">
      <c r="A275" s="1034"/>
      <c r="B275" s="1036"/>
      <c r="C275" s="1038"/>
      <c r="D275" s="1038"/>
      <c r="E275" s="1038"/>
      <c r="F275" s="1038"/>
      <c r="G275" s="1038"/>
      <c r="H275" s="1038"/>
      <c r="I275" s="1039"/>
      <c r="J275" s="1039"/>
      <c r="K275" s="1038"/>
    </row>
    <row r="276" spans="1:11" s="500" customFormat="1" ht="74.25" hidden="1" customHeight="1">
      <c r="A276" s="1102" t="s">
        <v>1803</v>
      </c>
      <c r="B276" s="1103"/>
      <c r="C276" s="729"/>
      <c r="D276" s="729"/>
      <c r="E276" s="726"/>
      <c r="F276" s="727"/>
      <c r="G276" s="728"/>
      <c r="H276" s="728"/>
      <c r="I276" s="642">
        <f>I279+I288+I277</f>
        <v>148380</v>
      </c>
      <c r="J276" s="642">
        <f>J279+J288+J277</f>
        <v>98920</v>
      </c>
      <c r="K276" s="642">
        <f>I276+J276</f>
        <v>247300</v>
      </c>
    </row>
    <row r="277" spans="1:11" s="579" customFormat="1" ht="73.5" hidden="1" customHeight="1">
      <c r="A277" s="1011" t="s">
        <v>2251</v>
      </c>
      <c r="B277" s="1012"/>
      <c r="C277" s="1012"/>
      <c r="D277" s="1012"/>
      <c r="E277" s="1012"/>
      <c r="F277" s="1013"/>
      <c r="G277" s="709"/>
      <c r="H277" s="710"/>
      <c r="I277" s="545">
        <f>I278</f>
        <v>57310.799999999996</v>
      </c>
      <c r="J277" s="545">
        <f>J278</f>
        <v>38207.199999999997</v>
      </c>
      <c r="K277" s="545">
        <f>I277+J277</f>
        <v>95518</v>
      </c>
    </row>
    <row r="278" spans="1:11" s="510" customFormat="1" ht="74.25" hidden="1" customHeight="1">
      <c r="A278" s="1020" t="s">
        <v>1804</v>
      </c>
      <c r="B278" s="1022"/>
      <c r="C278" s="714" t="s">
        <v>1544</v>
      </c>
      <c r="D278" s="714"/>
      <c r="E278" s="714" t="s">
        <v>1544</v>
      </c>
      <c r="F278" s="833" t="s">
        <v>2252</v>
      </c>
      <c r="G278" s="835">
        <v>8100</v>
      </c>
      <c r="H278" s="828" t="s">
        <v>2273</v>
      </c>
      <c r="I278" s="717">
        <f>K278/100*60</f>
        <v>57310.799999999996</v>
      </c>
      <c r="J278" s="717">
        <f>K278/100*40</f>
        <v>38207.199999999997</v>
      </c>
      <c r="K278" s="717">
        <v>95518</v>
      </c>
    </row>
    <row r="279" spans="1:11" ht="75" hidden="1" customHeight="1">
      <c r="A279" s="1011" t="s">
        <v>1541</v>
      </c>
      <c r="B279" s="1013"/>
      <c r="C279" s="709"/>
      <c r="D279" s="709"/>
      <c r="E279" s="709"/>
      <c r="F279" s="708"/>
      <c r="G279" s="709"/>
      <c r="H279" s="710"/>
      <c r="I279" s="545">
        <f>SUM(I280:I287)</f>
        <v>74269.2</v>
      </c>
      <c r="J279" s="545">
        <f>SUM(J280:J287)</f>
        <v>49512.800000000003</v>
      </c>
      <c r="K279" s="545">
        <f>I279+J279</f>
        <v>123782</v>
      </c>
    </row>
    <row r="280" spans="1:11" s="510" customFormat="1" ht="74.25" hidden="1" customHeight="1">
      <c r="A280" s="1020" t="s">
        <v>1842</v>
      </c>
      <c r="B280" s="1022"/>
      <c r="C280" s="714" t="s">
        <v>1544</v>
      </c>
      <c r="D280" s="714"/>
      <c r="E280" s="714" t="s">
        <v>1544</v>
      </c>
      <c r="F280" s="829" t="s">
        <v>2229</v>
      </c>
      <c r="G280" s="1047">
        <v>8100</v>
      </c>
      <c r="H280" s="1099" t="s">
        <v>2273</v>
      </c>
      <c r="I280" s="717">
        <f t="shared" ref="I280:I287" si="6">K280/100*60</f>
        <v>19200</v>
      </c>
      <c r="J280" s="717">
        <f t="shared" ref="J280:J287" si="7">K280/100*40</f>
        <v>12800</v>
      </c>
      <c r="K280" s="717">
        <v>32000</v>
      </c>
    </row>
    <row r="281" spans="1:11" s="510" customFormat="1" ht="75" hidden="1" customHeight="1">
      <c r="A281" s="1020" t="s">
        <v>807</v>
      </c>
      <c r="B281" s="1022"/>
      <c r="C281" s="714" t="s">
        <v>1544</v>
      </c>
      <c r="D281" s="714"/>
      <c r="E281" s="714" t="s">
        <v>1544</v>
      </c>
      <c r="F281" s="833" t="s">
        <v>2236</v>
      </c>
      <c r="G281" s="1048"/>
      <c r="H281" s="1100"/>
      <c r="I281" s="717">
        <f t="shared" si="6"/>
        <v>1200</v>
      </c>
      <c r="J281" s="717">
        <f t="shared" si="7"/>
        <v>800</v>
      </c>
      <c r="K281" s="717">
        <v>2000</v>
      </c>
    </row>
    <row r="282" spans="1:11" s="510" customFormat="1" ht="75" hidden="1" customHeight="1">
      <c r="A282" s="1020" t="s">
        <v>1546</v>
      </c>
      <c r="B282" s="1022"/>
      <c r="C282" s="714" t="s">
        <v>1544</v>
      </c>
      <c r="D282" s="714"/>
      <c r="E282" s="714" t="s">
        <v>1544</v>
      </c>
      <c r="F282" s="829" t="s">
        <v>2230</v>
      </c>
      <c r="G282" s="1048"/>
      <c r="H282" s="1100"/>
      <c r="I282" s="717">
        <f t="shared" si="6"/>
        <v>14400</v>
      </c>
      <c r="J282" s="717">
        <f t="shared" si="7"/>
        <v>9600</v>
      </c>
      <c r="K282" s="717">
        <v>24000</v>
      </c>
    </row>
    <row r="283" spans="1:11" s="510" customFormat="1" ht="75" hidden="1" customHeight="1">
      <c r="A283" s="1020" t="s">
        <v>1568</v>
      </c>
      <c r="B283" s="1022"/>
      <c r="C283" s="714" t="s">
        <v>1544</v>
      </c>
      <c r="D283" s="714"/>
      <c r="E283" s="714" t="s">
        <v>1544</v>
      </c>
      <c r="F283" s="1044" t="s">
        <v>2231</v>
      </c>
      <c r="G283" s="1048"/>
      <c r="H283" s="1100"/>
      <c r="I283" s="717">
        <f t="shared" si="6"/>
        <v>24769.200000000001</v>
      </c>
      <c r="J283" s="717">
        <f t="shared" si="7"/>
        <v>16512.8</v>
      </c>
      <c r="K283" s="717">
        <v>41282</v>
      </c>
    </row>
    <row r="284" spans="1:11" s="510" customFormat="1" ht="75" hidden="1" customHeight="1">
      <c r="A284" s="1020" t="s">
        <v>804</v>
      </c>
      <c r="B284" s="1022"/>
      <c r="C284" s="714" t="s">
        <v>1544</v>
      </c>
      <c r="D284" s="714"/>
      <c r="E284" s="714" t="s">
        <v>1544</v>
      </c>
      <c r="F284" s="1142"/>
      <c r="G284" s="1048"/>
      <c r="H284" s="1100"/>
      <c r="I284" s="717">
        <f t="shared" si="6"/>
        <v>5400</v>
      </c>
      <c r="J284" s="717">
        <f t="shared" si="7"/>
        <v>3600</v>
      </c>
      <c r="K284" s="717">
        <v>9000</v>
      </c>
    </row>
    <row r="285" spans="1:11" s="510" customFormat="1" ht="75" hidden="1" customHeight="1">
      <c r="A285" s="1020" t="s">
        <v>461</v>
      </c>
      <c r="B285" s="1022"/>
      <c r="C285" s="714" t="s">
        <v>1544</v>
      </c>
      <c r="D285" s="714"/>
      <c r="E285" s="714" t="s">
        <v>1544</v>
      </c>
      <c r="F285" s="1142"/>
      <c r="G285" s="1048"/>
      <c r="H285" s="1100"/>
      <c r="I285" s="717">
        <f t="shared" si="6"/>
        <v>3300</v>
      </c>
      <c r="J285" s="717">
        <f t="shared" si="7"/>
        <v>2200</v>
      </c>
      <c r="K285" s="717">
        <v>5500</v>
      </c>
    </row>
    <row r="286" spans="1:11" s="510" customFormat="1" ht="75" hidden="1" customHeight="1">
      <c r="A286" s="1020" t="s">
        <v>805</v>
      </c>
      <c r="B286" s="1022"/>
      <c r="C286" s="714" t="s">
        <v>1544</v>
      </c>
      <c r="D286" s="714"/>
      <c r="E286" s="714" t="s">
        <v>1544</v>
      </c>
      <c r="F286" s="1142"/>
      <c r="G286" s="1048"/>
      <c r="H286" s="1100"/>
      <c r="I286" s="717">
        <f t="shared" si="6"/>
        <v>3000</v>
      </c>
      <c r="J286" s="717">
        <f t="shared" si="7"/>
        <v>2000</v>
      </c>
      <c r="K286" s="717">
        <v>5000</v>
      </c>
    </row>
    <row r="287" spans="1:11" s="510" customFormat="1" ht="75" hidden="1" customHeight="1">
      <c r="A287" s="1020" t="s">
        <v>806</v>
      </c>
      <c r="B287" s="1022"/>
      <c r="C287" s="714" t="s">
        <v>1544</v>
      </c>
      <c r="D287" s="714"/>
      <c r="E287" s="714" t="s">
        <v>1544</v>
      </c>
      <c r="F287" s="1143"/>
      <c r="G287" s="1048"/>
      <c r="H287" s="1100"/>
      <c r="I287" s="717">
        <f t="shared" si="6"/>
        <v>3000</v>
      </c>
      <c r="J287" s="717">
        <f t="shared" si="7"/>
        <v>2000</v>
      </c>
      <c r="K287" s="717">
        <v>5000</v>
      </c>
    </row>
    <row r="288" spans="1:11" ht="73.5" hidden="1" customHeight="1">
      <c r="A288" s="1011" t="s">
        <v>312</v>
      </c>
      <c r="B288" s="1013"/>
      <c r="C288" s="709"/>
      <c r="D288" s="709"/>
      <c r="E288" s="709"/>
      <c r="F288" s="708"/>
      <c r="G288" s="709"/>
      <c r="H288" s="710"/>
      <c r="I288" s="545">
        <f>SUM(I289:I289)</f>
        <v>16800</v>
      </c>
      <c r="J288" s="545">
        <f>SUM(J289:J289)</f>
        <v>11200</v>
      </c>
      <c r="K288" s="545">
        <f>SUM(K289:K289)</f>
        <v>28000</v>
      </c>
    </row>
    <row r="289" spans="1:11" s="510" customFormat="1" ht="74.25" hidden="1" customHeight="1">
      <c r="A289" s="1020" t="s">
        <v>1843</v>
      </c>
      <c r="B289" s="1022"/>
      <c r="C289" s="714" t="s">
        <v>1544</v>
      </c>
      <c r="D289" s="714"/>
      <c r="E289" s="714" t="s">
        <v>1544</v>
      </c>
      <c r="F289" s="833" t="s">
        <v>2224</v>
      </c>
      <c r="G289" s="835">
        <v>8100</v>
      </c>
      <c r="H289" s="834" t="s">
        <v>2273</v>
      </c>
      <c r="I289" s="717">
        <f>K289/100*60</f>
        <v>16800</v>
      </c>
      <c r="J289" s="717">
        <f>K289/100*40</f>
        <v>11200</v>
      </c>
      <c r="K289" s="717">
        <v>28000</v>
      </c>
    </row>
    <row r="290" spans="1:11" s="510" customFormat="1" ht="74.25" hidden="1" customHeight="1">
      <c r="A290" s="753"/>
      <c r="B290" s="753"/>
      <c r="C290" s="754"/>
      <c r="D290" s="754"/>
      <c r="E290" s="754"/>
      <c r="F290" s="755"/>
      <c r="G290" s="758"/>
      <c r="H290" s="756"/>
      <c r="I290" s="757"/>
      <c r="J290" s="757"/>
      <c r="K290" s="757"/>
    </row>
    <row r="291" spans="1:11" s="510" customFormat="1" ht="74.25" hidden="1" customHeight="1">
      <c r="A291" s="753"/>
      <c r="B291" s="753"/>
      <c r="C291" s="754"/>
      <c r="D291" s="754"/>
      <c r="E291" s="754"/>
      <c r="F291" s="755"/>
      <c r="G291" s="758"/>
      <c r="H291" s="756"/>
      <c r="I291" s="757"/>
      <c r="J291" s="757"/>
      <c r="K291" s="757"/>
    </row>
    <row r="292" spans="1:11" ht="34.5" hidden="1" customHeight="1">
      <c r="A292" s="1128" t="s">
        <v>51</v>
      </c>
      <c r="B292" s="1128"/>
      <c r="C292" s="1128"/>
      <c r="D292" s="1128"/>
      <c r="E292" s="1128"/>
      <c r="F292" s="1128"/>
      <c r="G292" s="1128"/>
      <c r="H292" s="1128"/>
      <c r="I292" s="1128"/>
      <c r="J292" s="1128"/>
      <c r="K292" s="1128"/>
    </row>
    <row r="293" spans="1:11" ht="30.75" hidden="1" customHeight="1">
      <c r="A293" s="1128" t="s">
        <v>52</v>
      </c>
      <c r="B293" s="1128"/>
      <c r="C293" s="1128"/>
      <c r="D293" s="1128"/>
      <c r="E293" s="1128"/>
      <c r="F293" s="1128"/>
      <c r="G293" s="1128"/>
      <c r="H293" s="1128"/>
      <c r="I293" s="1128"/>
      <c r="J293" s="1128"/>
      <c r="K293" s="1128"/>
    </row>
    <row r="294" spans="1:11" ht="33" hidden="1" customHeight="1">
      <c r="A294" s="1132" t="s">
        <v>50</v>
      </c>
      <c r="B294" s="1132"/>
      <c r="C294" s="1132"/>
      <c r="D294" s="1132"/>
      <c r="E294" s="1132"/>
      <c r="F294" s="1132"/>
      <c r="G294" s="1132"/>
      <c r="H294" s="1132"/>
      <c r="I294" s="1132"/>
      <c r="J294" s="1132"/>
      <c r="K294" s="1132"/>
    </row>
    <row r="295" spans="1:11" ht="33" hidden="1" customHeight="1">
      <c r="A295" s="154"/>
      <c r="B295" s="154"/>
      <c r="C295" s="154"/>
      <c r="D295" s="154"/>
      <c r="E295" s="154"/>
      <c r="F295" s="154"/>
      <c r="G295" s="707"/>
      <c r="H295" s="707"/>
      <c r="I295" s="707"/>
      <c r="J295" s="707"/>
      <c r="K295" s="707"/>
    </row>
    <row r="296" spans="1:11" ht="35.25" hidden="1">
      <c r="A296" s="1128" t="s">
        <v>1489</v>
      </c>
      <c r="B296" s="1128"/>
      <c r="C296" s="1128"/>
      <c r="D296" s="1128"/>
      <c r="E296" s="1128"/>
      <c r="F296" s="1128"/>
      <c r="G296" s="1128"/>
      <c r="H296" s="1128"/>
      <c r="I296" s="1128"/>
      <c r="J296" s="1128"/>
      <c r="K296" s="1128"/>
    </row>
    <row r="297" spans="1:11" s="620" customFormat="1" ht="33" hidden="1">
      <c r="A297" s="65"/>
      <c r="B297" s="65"/>
      <c r="C297" s="65"/>
      <c r="D297" s="65"/>
      <c r="E297" s="65"/>
      <c r="F297" s="65"/>
      <c r="G297" s="68"/>
      <c r="H297" s="68"/>
      <c r="I297" s="68"/>
      <c r="J297" s="68"/>
      <c r="K297" s="68"/>
    </row>
    <row r="298" spans="1:11" ht="20.100000000000001" hidden="1" customHeight="1">
      <c r="A298" s="65"/>
      <c r="B298" s="65"/>
      <c r="C298" s="65"/>
      <c r="D298" s="65"/>
      <c r="E298" s="65"/>
      <c r="F298" s="65"/>
      <c r="G298" s="68"/>
      <c r="H298" s="68"/>
      <c r="I298" s="68"/>
      <c r="J298" s="68"/>
      <c r="K298" s="68"/>
    </row>
    <row r="299" spans="1:11" ht="20.100000000000001" hidden="1" customHeight="1">
      <c r="A299" s="979"/>
      <c r="B299" s="979"/>
      <c r="C299" s="979"/>
      <c r="D299" s="979"/>
      <c r="E299" s="979"/>
      <c r="F299" s="979"/>
      <c r="G299" s="979"/>
      <c r="H299" s="979"/>
      <c r="I299" s="979"/>
      <c r="J299" s="979"/>
      <c r="K299" s="979"/>
    </row>
    <row r="300" spans="1:11" ht="45.75" hidden="1" customHeight="1">
      <c r="A300" s="1030" t="s">
        <v>1381</v>
      </c>
      <c r="B300" s="1030"/>
      <c r="C300" s="1030"/>
      <c r="D300" s="1030"/>
      <c r="E300" s="1030"/>
      <c r="F300" s="1030"/>
      <c r="G300" s="1030"/>
      <c r="H300" s="1030"/>
      <c r="I300" s="1030"/>
      <c r="J300" s="1030"/>
      <c r="K300" s="1030"/>
    </row>
    <row r="301" spans="1:11" ht="66" hidden="1" customHeight="1">
      <c r="A301" s="1031" t="s">
        <v>37</v>
      </c>
      <c r="B301" s="1033"/>
      <c r="C301" s="1037" t="s">
        <v>178</v>
      </c>
      <c r="D301" s="1037" t="s">
        <v>179</v>
      </c>
      <c r="E301" s="1037" t="s">
        <v>1521</v>
      </c>
      <c r="F301" s="1037" t="s">
        <v>14</v>
      </c>
      <c r="G301" s="1037" t="s">
        <v>1515</v>
      </c>
      <c r="H301" s="1037" t="s">
        <v>16</v>
      </c>
      <c r="I301" s="1039" t="s">
        <v>1490</v>
      </c>
      <c r="J301" s="1039" t="s">
        <v>2203</v>
      </c>
      <c r="K301" s="1037" t="s">
        <v>200</v>
      </c>
    </row>
    <row r="302" spans="1:11" s="500" customFormat="1" ht="30" hidden="1">
      <c r="A302" s="1034"/>
      <c r="B302" s="1036"/>
      <c r="C302" s="1038"/>
      <c r="D302" s="1038"/>
      <c r="E302" s="1038"/>
      <c r="F302" s="1038"/>
      <c r="G302" s="1038"/>
      <c r="H302" s="1038"/>
      <c r="I302" s="1039"/>
      <c r="J302" s="1039"/>
      <c r="K302" s="1038"/>
    </row>
    <row r="303" spans="1:11" s="500" customFormat="1" ht="74.25" hidden="1" customHeight="1">
      <c r="A303" s="1102" t="s">
        <v>1711</v>
      </c>
      <c r="B303" s="1103"/>
      <c r="C303" s="729"/>
      <c r="D303" s="729"/>
      <c r="E303" s="726"/>
      <c r="F303" s="727"/>
      <c r="G303" s="728"/>
      <c r="H303" s="728"/>
      <c r="I303" s="642">
        <f>I304+I319+I322</f>
        <v>908290</v>
      </c>
      <c r="J303" s="642">
        <f>J304+J319+J322</f>
        <v>552680</v>
      </c>
      <c r="K303" s="642">
        <f>I303+J303</f>
        <v>1460970</v>
      </c>
    </row>
    <row r="304" spans="1:11" ht="74.25" hidden="1" customHeight="1">
      <c r="A304" s="1011" t="s">
        <v>332</v>
      </c>
      <c r="B304" s="1013"/>
      <c r="C304" s="504"/>
      <c r="D304" s="709"/>
      <c r="E304" s="709"/>
      <c r="F304" s="708"/>
      <c r="G304" s="709"/>
      <c r="H304" s="710"/>
      <c r="I304" s="545">
        <f>SUM(I305:I318)</f>
        <v>718666</v>
      </c>
      <c r="J304" s="545">
        <f>SUM(J305:J318)</f>
        <v>427202</v>
      </c>
      <c r="K304" s="545">
        <f>I304+J304</f>
        <v>1145868</v>
      </c>
    </row>
    <row r="305" spans="1:11" s="510" customFormat="1" ht="74.25" hidden="1" customHeight="1">
      <c r="A305" s="1059" t="s">
        <v>1779</v>
      </c>
      <c r="B305" s="1061"/>
      <c r="C305" s="789" t="s">
        <v>1727</v>
      </c>
      <c r="D305" s="789">
        <v>18</v>
      </c>
      <c r="E305" s="789" t="s">
        <v>1728</v>
      </c>
      <c r="F305" s="829" t="s">
        <v>2237</v>
      </c>
      <c r="G305" s="1047">
        <v>8100</v>
      </c>
      <c r="H305" s="1099" t="s">
        <v>2446</v>
      </c>
      <c r="I305" s="717">
        <f>73439+4900</f>
        <v>78339</v>
      </c>
      <c r="J305" s="717"/>
      <c r="K305" s="717">
        <v>73439</v>
      </c>
    </row>
    <row r="306" spans="1:11" s="510" customFormat="1" ht="74.25" hidden="1" customHeight="1">
      <c r="A306" s="1020" t="s">
        <v>1769</v>
      </c>
      <c r="B306" s="1022"/>
      <c r="C306" s="714" t="s">
        <v>1730</v>
      </c>
      <c r="D306" s="714">
        <v>5</v>
      </c>
      <c r="E306" s="714" t="s">
        <v>1731</v>
      </c>
      <c r="F306" s="1044" t="s">
        <v>2226</v>
      </c>
      <c r="G306" s="1048"/>
      <c r="H306" s="1100"/>
      <c r="I306" s="717">
        <f t="shared" ref="I306:I315" si="8">K306/100*60</f>
        <v>10500</v>
      </c>
      <c r="J306" s="717">
        <f t="shared" ref="J306:J315" si="9">K306/100*40</f>
        <v>7000</v>
      </c>
      <c r="K306" s="717">
        <v>17500</v>
      </c>
    </row>
    <row r="307" spans="1:11" s="510" customFormat="1" ht="74.25" hidden="1" customHeight="1">
      <c r="A307" s="1020" t="s">
        <v>1770</v>
      </c>
      <c r="B307" s="1022"/>
      <c r="C307" s="714" t="s">
        <v>1732</v>
      </c>
      <c r="D307" s="714">
        <v>10</v>
      </c>
      <c r="E307" s="714" t="s">
        <v>1733</v>
      </c>
      <c r="F307" s="1045"/>
      <c r="G307" s="1048"/>
      <c r="H307" s="1100"/>
      <c r="I307" s="717">
        <f t="shared" si="8"/>
        <v>21000</v>
      </c>
      <c r="J307" s="717">
        <f t="shared" si="9"/>
        <v>14000</v>
      </c>
      <c r="K307" s="717">
        <v>35000</v>
      </c>
    </row>
    <row r="308" spans="1:11" s="510" customFormat="1" ht="74.25" hidden="1" customHeight="1">
      <c r="A308" s="1020" t="s">
        <v>1775</v>
      </c>
      <c r="B308" s="1022"/>
      <c r="C308" s="714" t="s">
        <v>1716</v>
      </c>
      <c r="D308" s="714">
        <v>15</v>
      </c>
      <c r="E308" s="714" t="s">
        <v>1717</v>
      </c>
      <c r="F308" s="1046"/>
      <c r="G308" s="1048"/>
      <c r="H308" s="1100"/>
      <c r="I308" s="717">
        <f>K308/100*60</f>
        <v>80400</v>
      </c>
      <c r="J308" s="717">
        <f>K308/100*40</f>
        <v>53600</v>
      </c>
      <c r="K308" s="717">
        <v>134000</v>
      </c>
    </row>
    <row r="309" spans="1:11" s="510" customFormat="1" ht="74.25" hidden="1" customHeight="1">
      <c r="A309" s="1020" t="s">
        <v>1771</v>
      </c>
      <c r="B309" s="1022"/>
      <c r="C309" s="714" t="s">
        <v>1734</v>
      </c>
      <c r="D309" s="714">
        <v>90</v>
      </c>
      <c r="E309" s="714" t="s">
        <v>1728</v>
      </c>
      <c r="F309" s="833" t="s">
        <v>2238</v>
      </c>
      <c r="G309" s="1048"/>
      <c r="H309" s="1100"/>
      <c r="I309" s="717">
        <f t="shared" si="8"/>
        <v>48000</v>
      </c>
      <c r="J309" s="717">
        <f t="shared" si="9"/>
        <v>32000</v>
      </c>
      <c r="K309" s="717">
        <v>80000</v>
      </c>
    </row>
    <row r="310" spans="1:11" s="510" customFormat="1" ht="74.25" hidden="1" customHeight="1">
      <c r="A310" s="1020" t="s">
        <v>1772</v>
      </c>
      <c r="B310" s="1022"/>
      <c r="C310" s="714" t="s">
        <v>1735</v>
      </c>
      <c r="D310" s="714">
        <v>32</v>
      </c>
      <c r="E310" s="714" t="s">
        <v>1728</v>
      </c>
      <c r="F310" s="1104" t="s">
        <v>2239</v>
      </c>
      <c r="G310" s="1048"/>
      <c r="H310" s="1100"/>
      <c r="I310" s="717">
        <f t="shared" si="8"/>
        <v>51600</v>
      </c>
      <c r="J310" s="717">
        <f t="shared" si="9"/>
        <v>34400</v>
      </c>
      <c r="K310" s="717">
        <v>86000</v>
      </c>
    </row>
    <row r="311" spans="1:11" s="510" customFormat="1" ht="74.25" hidden="1" customHeight="1">
      <c r="A311" s="1020" t="s">
        <v>1773</v>
      </c>
      <c r="B311" s="1022"/>
      <c r="C311" s="714" t="s">
        <v>1736</v>
      </c>
      <c r="D311" s="714">
        <v>68</v>
      </c>
      <c r="E311" s="714" t="s">
        <v>1728</v>
      </c>
      <c r="F311" s="1104"/>
      <c r="G311" s="1048"/>
      <c r="H311" s="1100"/>
      <c r="I311" s="717">
        <f t="shared" si="8"/>
        <v>37200</v>
      </c>
      <c r="J311" s="717">
        <f t="shared" si="9"/>
        <v>24800</v>
      </c>
      <c r="K311" s="717">
        <v>62000</v>
      </c>
    </row>
    <row r="312" spans="1:11" s="510" customFormat="1" ht="74.25" hidden="1" customHeight="1">
      <c r="A312" s="1020" t="s">
        <v>1774</v>
      </c>
      <c r="B312" s="1022"/>
      <c r="C312" s="714" t="s">
        <v>1737</v>
      </c>
      <c r="D312" s="714">
        <v>70</v>
      </c>
      <c r="E312" s="714" t="s">
        <v>1728</v>
      </c>
      <c r="F312" s="1104"/>
      <c r="G312" s="1048"/>
      <c r="H312" s="1100"/>
      <c r="I312" s="717">
        <f>191236-38536</f>
        <v>152700</v>
      </c>
      <c r="J312" s="717">
        <f>127490-6464</f>
        <v>121026</v>
      </c>
      <c r="K312" s="717">
        <f>I312+J312</f>
        <v>273726</v>
      </c>
    </row>
    <row r="313" spans="1:11" s="510" customFormat="1" ht="74.25" hidden="1" customHeight="1">
      <c r="A313" s="1020" t="s">
        <v>2464</v>
      </c>
      <c r="B313" s="1022"/>
      <c r="C313" s="714" t="s">
        <v>1544</v>
      </c>
      <c r="D313" s="714"/>
      <c r="E313" s="714" t="s">
        <v>1544</v>
      </c>
      <c r="F313" s="1104"/>
      <c r="G313" s="1048"/>
      <c r="H313" s="1100"/>
      <c r="I313" s="717">
        <f t="shared" si="8"/>
        <v>13800</v>
      </c>
      <c r="J313" s="717">
        <f t="shared" si="9"/>
        <v>9200</v>
      </c>
      <c r="K313" s="717">
        <v>23000</v>
      </c>
    </row>
    <row r="314" spans="1:11" s="510" customFormat="1" ht="74.25" hidden="1" customHeight="1">
      <c r="A314" s="1020" t="s">
        <v>1776</v>
      </c>
      <c r="B314" s="1022"/>
      <c r="C314" s="714" t="s">
        <v>1738</v>
      </c>
      <c r="D314" s="714">
        <v>20</v>
      </c>
      <c r="E314" s="714" t="s">
        <v>1728</v>
      </c>
      <c r="F314" s="1044" t="s">
        <v>2240</v>
      </c>
      <c r="G314" s="1048"/>
      <c r="H314" s="1100"/>
      <c r="I314" s="717">
        <f t="shared" si="8"/>
        <v>5700</v>
      </c>
      <c r="J314" s="717">
        <f t="shared" si="9"/>
        <v>3800</v>
      </c>
      <c r="K314" s="717">
        <v>9500</v>
      </c>
    </row>
    <row r="315" spans="1:11" s="510" customFormat="1" ht="74.25" hidden="1" customHeight="1">
      <c r="A315" s="1020" t="s">
        <v>1777</v>
      </c>
      <c r="B315" s="1022"/>
      <c r="C315" s="714" t="s">
        <v>1739</v>
      </c>
      <c r="D315" s="714">
        <v>12</v>
      </c>
      <c r="E315" s="714" t="s">
        <v>1728</v>
      </c>
      <c r="F315" s="1046"/>
      <c r="G315" s="1049"/>
      <c r="H315" s="1101"/>
      <c r="I315" s="717">
        <f t="shared" si="8"/>
        <v>191064</v>
      </c>
      <c r="J315" s="717">
        <f t="shared" si="9"/>
        <v>127376</v>
      </c>
      <c r="K315" s="717">
        <v>318440</v>
      </c>
    </row>
    <row r="316" spans="1:11" s="510" customFormat="1" ht="21.75" hidden="1" customHeight="1">
      <c r="A316" s="825"/>
      <c r="B316" s="826"/>
      <c r="C316" s="714"/>
      <c r="D316" s="714"/>
      <c r="E316" s="714"/>
      <c r="F316" s="830"/>
      <c r="G316" s="831"/>
      <c r="H316" s="832"/>
      <c r="I316" s="717"/>
      <c r="J316" s="717"/>
      <c r="K316" s="717"/>
    </row>
    <row r="317" spans="1:11" s="510" customFormat="1" ht="74.25" hidden="1" customHeight="1">
      <c r="A317" s="1008" t="s">
        <v>2478</v>
      </c>
      <c r="B317" s="1010"/>
      <c r="C317" s="818"/>
      <c r="D317" s="818"/>
      <c r="E317" s="818"/>
      <c r="F317" s="819"/>
      <c r="G317" s="815"/>
      <c r="H317" s="816"/>
      <c r="I317" s="817">
        <v>23881</v>
      </c>
      <c r="J317" s="817"/>
      <c r="K317" s="817">
        <f t="shared" ref="K317:K323" si="10">I317+J317</f>
        <v>23881</v>
      </c>
    </row>
    <row r="318" spans="1:11" s="510" customFormat="1" ht="74.25" hidden="1" customHeight="1">
      <c r="A318" s="1096" t="s">
        <v>2477</v>
      </c>
      <c r="B318" s="1097"/>
      <c r="C318" s="814"/>
      <c r="D318" s="814"/>
      <c r="E318" s="814"/>
      <c r="F318" s="820"/>
      <c r="G318" s="815"/>
      <c r="H318" s="816"/>
      <c r="I318" s="817">
        <v>4482</v>
      </c>
      <c r="J318" s="817"/>
      <c r="K318" s="817">
        <f t="shared" si="10"/>
        <v>4482</v>
      </c>
    </row>
    <row r="319" spans="1:11" ht="74.25" hidden="1" customHeight="1">
      <c r="A319" s="1011" t="s">
        <v>481</v>
      </c>
      <c r="B319" s="1013"/>
      <c r="C319" s="504"/>
      <c r="D319" s="709"/>
      <c r="E319" s="709"/>
      <c r="F319" s="708"/>
      <c r="G319" s="709"/>
      <c r="H319" s="710"/>
      <c r="I319" s="545">
        <f>SUM(I320:I321)</f>
        <v>184981</v>
      </c>
      <c r="J319" s="545">
        <f>SUM(J320:J321)</f>
        <v>122283</v>
      </c>
      <c r="K319" s="545">
        <f t="shared" si="10"/>
        <v>307264</v>
      </c>
    </row>
    <row r="320" spans="1:11" s="510" customFormat="1" ht="74.25" hidden="1" customHeight="1">
      <c r="A320" s="1020" t="s">
        <v>1778</v>
      </c>
      <c r="B320" s="1022"/>
      <c r="C320" s="714" t="s">
        <v>1756</v>
      </c>
      <c r="D320" s="714">
        <v>200</v>
      </c>
      <c r="E320" s="714" t="s">
        <v>1731</v>
      </c>
      <c r="F320" s="833" t="s">
        <v>2232</v>
      </c>
      <c r="G320" s="834" t="s">
        <v>1321</v>
      </c>
      <c r="H320" s="834" t="s">
        <v>2451</v>
      </c>
      <c r="I320" s="717">
        <v>177672</v>
      </c>
      <c r="J320" s="717">
        <v>122283</v>
      </c>
      <c r="K320" s="717">
        <f t="shared" si="10"/>
        <v>299955</v>
      </c>
    </row>
    <row r="321" spans="1:11" s="510" customFormat="1" ht="74.25" hidden="1" customHeight="1">
      <c r="A321" s="1008" t="s">
        <v>2476</v>
      </c>
      <c r="B321" s="1010"/>
      <c r="C321" s="818"/>
      <c r="D321" s="818"/>
      <c r="E321" s="818"/>
      <c r="F321" s="810"/>
      <c r="G321" s="812"/>
      <c r="H321" s="812"/>
      <c r="I321" s="817">
        <v>7309</v>
      </c>
      <c r="J321" s="817"/>
      <c r="K321" s="817">
        <f t="shared" si="10"/>
        <v>7309</v>
      </c>
    </row>
    <row r="322" spans="1:11" ht="74.25" hidden="1" customHeight="1">
      <c r="A322" s="1011" t="s">
        <v>1248</v>
      </c>
      <c r="B322" s="1107"/>
      <c r="C322" s="504"/>
      <c r="D322" s="709"/>
      <c r="E322" s="709"/>
      <c r="F322" s="708"/>
      <c r="G322" s="709"/>
      <c r="H322" s="710"/>
      <c r="I322" s="545">
        <f>SUM(I323)</f>
        <v>4643</v>
      </c>
      <c r="J322" s="545">
        <f>SUM(J323)</f>
        <v>3195</v>
      </c>
      <c r="K322" s="545">
        <f t="shared" si="10"/>
        <v>7838</v>
      </c>
    </row>
    <row r="323" spans="1:11" s="510" customFormat="1" ht="74.25" hidden="1" customHeight="1">
      <c r="A323" s="1020" t="s">
        <v>1319</v>
      </c>
      <c r="B323" s="1022"/>
      <c r="C323" s="714" t="s">
        <v>1544</v>
      </c>
      <c r="D323" s="714"/>
      <c r="E323" s="714" t="s">
        <v>1544</v>
      </c>
      <c r="F323" s="833" t="s">
        <v>2233</v>
      </c>
      <c r="G323" s="834" t="s">
        <v>1321</v>
      </c>
      <c r="H323" s="834" t="s">
        <v>2447</v>
      </c>
      <c r="I323" s="717">
        <v>4643</v>
      </c>
      <c r="J323" s="717">
        <v>3195</v>
      </c>
      <c r="K323" s="717">
        <f t="shared" si="10"/>
        <v>7838</v>
      </c>
    </row>
    <row r="324" spans="1:11" ht="48" hidden="1" customHeight="1">
      <c r="A324" s="1041" t="s">
        <v>2455</v>
      </c>
      <c r="B324" s="1041"/>
      <c r="C324" s="1042"/>
      <c r="D324" s="1042"/>
      <c r="E324" s="1042"/>
      <c r="F324" s="1042"/>
      <c r="G324" s="1042"/>
      <c r="H324" s="1042"/>
      <c r="I324" s="1042"/>
      <c r="J324" s="27"/>
      <c r="K324" s="27"/>
    </row>
    <row r="325" spans="1:11" ht="42" hidden="1" customHeight="1">
      <c r="A325" s="1041" t="s">
        <v>2456</v>
      </c>
      <c r="B325" s="1041"/>
      <c r="C325" s="1042"/>
      <c r="D325" s="1042"/>
      <c r="E325" s="1042"/>
      <c r="F325" s="1042"/>
      <c r="G325" s="1042"/>
      <c r="H325" s="1042"/>
      <c r="I325" s="1042"/>
      <c r="J325" s="27"/>
      <c r="K325" s="27"/>
    </row>
    <row r="326" spans="1:11" s="743" customFormat="1" ht="36.75" hidden="1" customHeight="1">
      <c r="A326" s="1135"/>
      <c r="B326" s="1136"/>
      <c r="C326" s="738"/>
      <c r="D326" s="738"/>
      <c r="E326" s="739"/>
      <c r="F326" s="740"/>
      <c r="G326" s="741"/>
      <c r="H326" s="741"/>
      <c r="I326" s="742"/>
      <c r="J326" s="742"/>
      <c r="K326" s="742"/>
    </row>
    <row r="327" spans="1:11" ht="66" hidden="1" customHeight="1">
      <c r="A327" s="1031" t="s">
        <v>37</v>
      </c>
      <c r="B327" s="1033"/>
      <c r="C327" s="1037" t="s">
        <v>178</v>
      </c>
      <c r="D327" s="1037" t="s">
        <v>179</v>
      </c>
      <c r="E327" s="1037" t="s">
        <v>1521</v>
      </c>
      <c r="F327" s="1037" t="s">
        <v>14</v>
      </c>
      <c r="G327" s="1037" t="s">
        <v>1515</v>
      </c>
      <c r="H327" s="1037" t="s">
        <v>16</v>
      </c>
      <c r="I327" s="1039" t="s">
        <v>1490</v>
      </c>
      <c r="J327" s="1039" t="s">
        <v>2203</v>
      </c>
      <c r="K327" s="1037" t="s">
        <v>200</v>
      </c>
    </row>
    <row r="328" spans="1:11" s="500" customFormat="1" ht="30" hidden="1">
      <c r="A328" s="1034"/>
      <c r="B328" s="1036"/>
      <c r="C328" s="1038"/>
      <c r="D328" s="1038"/>
      <c r="E328" s="1038"/>
      <c r="F328" s="1038"/>
      <c r="G328" s="1038"/>
      <c r="H328" s="1038"/>
      <c r="I328" s="1039"/>
      <c r="J328" s="1039"/>
      <c r="K328" s="1038"/>
    </row>
    <row r="329" spans="1:11" s="500" customFormat="1" ht="74.25" hidden="1" customHeight="1">
      <c r="A329" s="1102" t="s">
        <v>1602</v>
      </c>
      <c r="B329" s="1103"/>
      <c r="C329" s="729"/>
      <c r="D329" s="729"/>
      <c r="E329" s="726"/>
      <c r="F329" s="727"/>
      <c r="G329" s="728"/>
      <c r="H329" s="728"/>
      <c r="I329" s="642">
        <f>I330+I332+I338</f>
        <v>711751.8</v>
      </c>
      <c r="J329" s="642">
        <f>J330+J332+J338</f>
        <v>474501.2</v>
      </c>
      <c r="K329" s="642">
        <f>I329+J329</f>
        <v>1186253</v>
      </c>
    </row>
    <row r="330" spans="1:11" s="579" customFormat="1" ht="73.5" hidden="1" customHeight="1">
      <c r="A330" s="1011" t="s">
        <v>2251</v>
      </c>
      <c r="B330" s="1012"/>
      <c r="C330" s="1012"/>
      <c r="D330" s="1012"/>
      <c r="E330" s="1012"/>
      <c r="F330" s="1013"/>
      <c r="G330" s="709"/>
      <c r="H330" s="710"/>
      <c r="I330" s="545">
        <f>I331</f>
        <v>531000</v>
      </c>
      <c r="J330" s="545">
        <f>J331</f>
        <v>354000</v>
      </c>
      <c r="K330" s="545">
        <f>I330+J330</f>
        <v>885000</v>
      </c>
    </row>
    <row r="331" spans="1:11" s="510" customFormat="1" ht="74.25" hidden="1" customHeight="1">
      <c r="A331" s="1020" t="s">
        <v>1603</v>
      </c>
      <c r="B331" s="1022"/>
      <c r="C331" s="714" t="s">
        <v>147</v>
      </c>
      <c r="D331" s="714">
        <v>324</v>
      </c>
      <c r="E331" s="725" t="s">
        <v>1573</v>
      </c>
      <c r="F331" s="833" t="s">
        <v>2253</v>
      </c>
      <c r="G331" s="835">
        <v>8100</v>
      </c>
      <c r="H331" s="834" t="s">
        <v>2273</v>
      </c>
      <c r="I331" s="717">
        <f>K331/100*60</f>
        <v>531000</v>
      </c>
      <c r="J331" s="717">
        <f>K331/100*40</f>
        <v>354000</v>
      </c>
      <c r="K331" s="717">
        <v>885000</v>
      </c>
    </row>
    <row r="332" spans="1:11" ht="75" hidden="1" customHeight="1">
      <c r="A332" s="1011" t="s">
        <v>1541</v>
      </c>
      <c r="B332" s="1013"/>
      <c r="C332" s="709"/>
      <c r="D332" s="709"/>
      <c r="E332" s="709"/>
      <c r="F332" s="708"/>
      <c r="G332" s="709"/>
      <c r="H332" s="710"/>
      <c r="I332" s="545">
        <f>SUM(I333:I337)</f>
        <v>173551.8</v>
      </c>
      <c r="J332" s="545">
        <f>SUM(J333:J337)</f>
        <v>115701.2</v>
      </c>
      <c r="K332" s="545">
        <f>I332+J332</f>
        <v>289253</v>
      </c>
    </row>
    <row r="333" spans="1:11" s="510" customFormat="1" ht="74.25" hidden="1" customHeight="1">
      <c r="A333" s="1020" t="s">
        <v>1604</v>
      </c>
      <c r="B333" s="1022"/>
      <c r="C333" s="714" t="s">
        <v>1608</v>
      </c>
      <c r="D333" s="714">
        <v>10</v>
      </c>
      <c r="E333" s="725" t="s">
        <v>1609</v>
      </c>
      <c r="F333" s="1044" t="s">
        <v>2229</v>
      </c>
      <c r="G333" s="1047">
        <v>8100</v>
      </c>
      <c r="H333" s="1099" t="s">
        <v>2273</v>
      </c>
      <c r="I333" s="717">
        <f>K333/100*60</f>
        <v>86601</v>
      </c>
      <c r="J333" s="717">
        <f>K333/100*40</f>
        <v>57734</v>
      </c>
      <c r="K333" s="717">
        <v>144335</v>
      </c>
    </row>
    <row r="334" spans="1:11" s="510" customFormat="1" ht="75" hidden="1" customHeight="1">
      <c r="A334" s="1020" t="s">
        <v>1605</v>
      </c>
      <c r="B334" s="1022"/>
      <c r="C334" s="714" t="s">
        <v>1610</v>
      </c>
      <c r="D334" s="714">
        <v>4</v>
      </c>
      <c r="E334" s="725" t="s">
        <v>1611</v>
      </c>
      <c r="F334" s="1046"/>
      <c r="G334" s="1048"/>
      <c r="H334" s="1100"/>
      <c r="I334" s="717">
        <f>K334/100*60</f>
        <v>4800</v>
      </c>
      <c r="J334" s="717">
        <f>K334/100*40</f>
        <v>3200</v>
      </c>
      <c r="K334" s="717">
        <v>8000</v>
      </c>
    </row>
    <row r="335" spans="1:11" s="510" customFormat="1" ht="75" hidden="1" customHeight="1">
      <c r="A335" s="1020" t="s">
        <v>1606</v>
      </c>
      <c r="B335" s="1022"/>
      <c r="C335" s="714" t="s">
        <v>1612</v>
      </c>
      <c r="D335" s="744">
        <v>20</v>
      </c>
      <c r="E335" s="725" t="s">
        <v>1613</v>
      </c>
      <c r="F335" s="829" t="s">
        <v>2230</v>
      </c>
      <c r="G335" s="1048"/>
      <c r="H335" s="1100"/>
      <c r="I335" s="717">
        <f>K335/100*60</f>
        <v>42000</v>
      </c>
      <c r="J335" s="717">
        <f>K335/100*40</f>
        <v>28000</v>
      </c>
      <c r="K335" s="717">
        <v>70000</v>
      </c>
    </row>
    <row r="336" spans="1:11" s="510" customFormat="1" ht="75" hidden="1" customHeight="1">
      <c r="A336" s="1020" t="s">
        <v>1607</v>
      </c>
      <c r="B336" s="1022"/>
      <c r="C336" s="714" t="s">
        <v>1614</v>
      </c>
      <c r="D336" s="714">
        <v>15</v>
      </c>
      <c r="E336" s="725" t="s">
        <v>1615</v>
      </c>
      <c r="F336" s="1044" t="s">
        <v>2231</v>
      </c>
      <c r="G336" s="1048"/>
      <c r="H336" s="1100"/>
      <c r="I336" s="717">
        <f>K336/100*60</f>
        <v>30000</v>
      </c>
      <c r="J336" s="717">
        <f>K336/100*40</f>
        <v>20000</v>
      </c>
      <c r="K336" s="717">
        <v>50000</v>
      </c>
    </row>
    <row r="337" spans="1:11" s="510" customFormat="1" ht="75" hidden="1" customHeight="1">
      <c r="A337" s="1020" t="s">
        <v>1496</v>
      </c>
      <c r="B337" s="1022"/>
      <c r="C337" s="714" t="s">
        <v>1616</v>
      </c>
      <c r="D337" s="714">
        <v>30</v>
      </c>
      <c r="E337" s="725" t="s">
        <v>1615</v>
      </c>
      <c r="F337" s="1046"/>
      <c r="G337" s="1048"/>
      <c r="H337" s="1100"/>
      <c r="I337" s="717">
        <f>K337/100*60</f>
        <v>10150.800000000001</v>
      </c>
      <c r="J337" s="717">
        <f>K337/100*40</f>
        <v>6767.2000000000007</v>
      </c>
      <c r="K337" s="717">
        <v>16918</v>
      </c>
    </row>
    <row r="338" spans="1:11" ht="74.25" hidden="1" customHeight="1">
      <c r="A338" s="1011" t="s">
        <v>278</v>
      </c>
      <c r="B338" s="1013"/>
      <c r="C338" s="504"/>
      <c r="D338" s="709"/>
      <c r="E338" s="709"/>
      <c r="F338" s="708"/>
      <c r="G338" s="709"/>
      <c r="H338" s="710"/>
      <c r="I338" s="545">
        <f>SUM(I339)</f>
        <v>7200</v>
      </c>
      <c r="J338" s="545">
        <f>SUM(J339)</f>
        <v>4800</v>
      </c>
      <c r="K338" s="545">
        <f>I338+J338</f>
        <v>12000</v>
      </c>
    </row>
    <row r="339" spans="1:11" s="510" customFormat="1" ht="74.25" hidden="1" customHeight="1">
      <c r="A339" s="1020" t="s">
        <v>1586</v>
      </c>
      <c r="B339" s="1022"/>
      <c r="C339" s="714" t="s">
        <v>18</v>
      </c>
      <c r="D339" s="714">
        <v>50</v>
      </c>
      <c r="E339" s="725" t="s">
        <v>1617</v>
      </c>
      <c r="F339" s="833" t="s">
        <v>2234</v>
      </c>
      <c r="G339" s="835">
        <v>8100</v>
      </c>
      <c r="H339" s="834" t="s">
        <v>2445</v>
      </c>
      <c r="I339" s="717">
        <f>K339/100*60</f>
        <v>7200</v>
      </c>
      <c r="J339" s="717">
        <f>K339/100*40</f>
        <v>4800</v>
      </c>
      <c r="K339" s="717">
        <v>12000</v>
      </c>
    </row>
    <row r="340" spans="1:11" s="510" customFormat="1" ht="74.25" hidden="1" customHeight="1">
      <c r="A340" s="753"/>
      <c r="B340" s="753"/>
      <c r="C340" s="754"/>
      <c r="D340" s="754"/>
      <c r="E340" s="759"/>
      <c r="F340" s="755"/>
      <c r="G340" s="758"/>
      <c r="H340" s="756"/>
      <c r="I340" s="757"/>
      <c r="J340" s="757"/>
      <c r="K340" s="757"/>
    </row>
    <row r="341" spans="1:11" s="510" customFormat="1" ht="74.25" hidden="1" customHeight="1">
      <c r="A341" s="753"/>
      <c r="B341" s="753"/>
      <c r="C341" s="754"/>
      <c r="D341" s="754"/>
      <c r="E341" s="759"/>
      <c r="F341" s="755"/>
      <c r="G341" s="758"/>
      <c r="H341" s="756"/>
      <c r="I341" s="757"/>
      <c r="J341" s="757"/>
      <c r="K341" s="757"/>
    </row>
    <row r="342" spans="1:11" ht="34.5" hidden="1" customHeight="1">
      <c r="A342" s="1128" t="s">
        <v>51</v>
      </c>
      <c r="B342" s="1128"/>
      <c r="C342" s="1128"/>
      <c r="D342" s="1128"/>
      <c r="E342" s="1128"/>
      <c r="F342" s="1128"/>
      <c r="G342" s="1128"/>
      <c r="H342" s="1128"/>
      <c r="I342" s="1128"/>
      <c r="J342" s="1128"/>
      <c r="K342" s="1128"/>
    </row>
    <row r="343" spans="1:11" ht="30.75" hidden="1" customHeight="1">
      <c r="A343" s="1128" t="s">
        <v>52</v>
      </c>
      <c r="B343" s="1128"/>
      <c r="C343" s="1128"/>
      <c r="D343" s="1128"/>
      <c r="E343" s="1128"/>
      <c r="F343" s="1128"/>
      <c r="G343" s="1128"/>
      <c r="H343" s="1128"/>
      <c r="I343" s="1128"/>
      <c r="J343" s="1128"/>
      <c r="K343" s="1128"/>
    </row>
    <row r="344" spans="1:11" ht="33" hidden="1" customHeight="1">
      <c r="A344" s="1132" t="s">
        <v>50</v>
      </c>
      <c r="B344" s="1132"/>
      <c r="C344" s="1132"/>
      <c r="D344" s="1132"/>
      <c r="E344" s="1132"/>
      <c r="F344" s="1132"/>
      <c r="G344" s="1132"/>
      <c r="H344" s="1132"/>
      <c r="I344" s="1132"/>
      <c r="J344" s="1132"/>
      <c r="K344" s="1132"/>
    </row>
    <row r="345" spans="1:11" ht="33" hidden="1" customHeight="1">
      <c r="A345" s="154"/>
      <c r="B345" s="154"/>
      <c r="C345" s="154"/>
      <c r="D345" s="154"/>
      <c r="E345" s="154"/>
      <c r="F345" s="154"/>
      <c r="G345" s="707"/>
      <c r="H345" s="707"/>
      <c r="I345" s="707"/>
      <c r="J345" s="707"/>
      <c r="K345" s="707"/>
    </row>
    <row r="346" spans="1:11" ht="35.25" hidden="1">
      <c r="A346" s="1128" t="s">
        <v>1489</v>
      </c>
      <c r="B346" s="1128"/>
      <c r="C346" s="1128"/>
      <c r="D346" s="1128"/>
      <c r="E346" s="1128"/>
      <c r="F346" s="1128"/>
      <c r="G346" s="1128"/>
      <c r="H346" s="1128"/>
      <c r="I346" s="1128"/>
      <c r="J346" s="1128"/>
      <c r="K346" s="1128"/>
    </row>
    <row r="347" spans="1:11" s="620" customFormat="1" ht="33" hidden="1">
      <c r="A347" s="65"/>
      <c r="B347" s="65"/>
      <c r="C347" s="65"/>
      <c r="D347" s="65"/>
      <c r="E347" s="65"/>
      <c r="F347" s="65"/>
      <c r="G347" s="68"/>
      <c r="H347" s="68"/>
      <c r="I347" s="68"/>
      <c r="J347" s="68"/>
      <c r="K347" s="68"/>
    </row>
    <row r="348" spans="1:11" ht="20.100000000000001" hidden="1" customHeight="1">
      <c r="A348" s="65"/>
      <c r="B348" s="65"/>
      <c r="C348" s="65"/>
      <c r="D348" s="65"/>
      <c r="E348" s="65"/>
      <c r="F348" s="65"/>
      <c r="G348" s="68"/>
      <c r="H348" s="68"/>
      <c r="I348" s="68"/>
      <c r="J348" s="68"/>
      <c r="K348" s="68"/>
    </row>
    <row r="349" spans="1:11" ht="20.100000000000001" hidden="1" customHeight="1">
      <c r="A349" s="979"/>
      <c r="B349" s="979"/>
      <c r="C349" s="979"/>
      <c r="D349" s="979"/>
      <c r="E349" s="979"/>
      <c r="F349" s="979"/>
      <c r="G349" s="979"/>
      <c r="H349" s="979"/>
      <c r="I349" s="979"/>
      <c r="J349" s="979"/>
      <c r="K349" s="979"/>
    </row>
    <row r="350" spans="1:11" ht="45.75" hidden="1" customHeight="1">
      <c r="A350" s="1030" t="s">
        <v>1381</v>
      </c>
      <c r="B350" s="1030"/>
      <c r="C350" s="1030"/>
      <c r="D350" s="1030"/>
      <c r="E350" s="1030"/>
      <c r="F350" s="1030"/>
      <c r="G350" s="1030"/>
      <c r="H350" s="1030"/>
      <c r="I350" s="1030"/>
      <c r="J350" s="1030"/>
      <c r="K350" s="1030"/>
    </row>
    <row r="351" spans="1:11" ht="66" hidden="1" customHeight="1">
      <c r="A351" s="1031" t="s">
        <v>37</v>
      </c>
      <c r="B351" s="1033"/>
      <c r="C351" s="1037" t="s">
        <v>178</v>
      </c>
      <c r="D351" s="1037" t="s">
        <v>179</v>
      </c>
      <c r="E351" s="1037" t="s">
        <v>1521</v>
      </c>
      <c r="F351" s="1037" t="s">
        <v>14</v>
      </c>
      <c r="G351" s="1037" t="s">
        <v>1515</v>
      </c>
      <c r="H351" s="1037" t="s">
        <v>16</v>
      </c>
      <c r="I351" s="1039" t="s">
        <v>1490</v>
      </c>
      <c r="J351" s="1039" t="s">
        <v>2203</v>
      </c>
      <c r="K351" s="1037" t="s">
        <v>200</v>
      </c>
    </row>
    <row r="352" spans="1:11" s="500" customFormat="1" ht="30" hidden="1">
      <c r="A352" s="1034"/>
      <c r="B352" s="1036"/>
      <c r="C352" s="1038"/>
      <c r="D352" s="1038"/>
      <c r="E352" s="1038"/>
      <c r="F352" s="1038"/>
      <c r="G352" s="1038"/>
      <c r="H352" s="1038"/>
      <c r="I352" s="1039"/>
      <c r="J352" s="1039"/>
      <c r="K352" s="1038"/>
    </row>
    <row r="353" spans="1:11" s="500" customFormat="1" ht="74.25" hidden="1" customHeight="1">
      <c r="A353" s="1102" t="s">
        <v>1542</v>
      </c>
      <c r="B353" s="1103"/>
      <c r="C353" s="729"/>
      <c r="D353" s="729"/>
      <c r="E353" s="726"/>
      <c r="F353" s="727"/>
      <c r="G353" s="728"/>
      <c r="H353" s="728"/>
      <c r="I353" s="642">
        <f>I354+I358</f>
        <v>284048.40000000002</v>
      </c>
      <c r="J353" s="642">
        <f>J354+J358</f>
        <v>189365.59999999998</v>
      </c>
      <c r="K353" s="642">
        <f>I353+J353</f>
        <v>473414</v>
      </c>
    </row>
    <row r="354" spans="1:11" ht="75" hidden="1" customHeight="1">
      <c r="A354" s="1011" t="s">
        <v>1541</v>
      </c>
      <c r="B354" s="1013"/>
      <c r="C354" s="709"/>
      <c r="D354" s="709"/>
      <c r="E354" s="709"/>
      <c r="F354" s="708"/>
      <c r="G354" s="709"/>
      <c r="H354" s="710"/>
      <c r="I354" s="545">
        <f>SUM(I355:I357)</f>
        <v>272048.40000000002</v>
      </c>
      <c r="J354" s="545">
        <f>SUM(J355:J357)</f>
        <v>181365.59999999998</v>
      </c>
      <c r="K354" s="545">
        <f>I354+J354</f>
        <v>453414</v>
      </c>
    </row>
    <row r="355" spans="1:11" s="510" customFormat="1" ht="74.25" hidden="1" customHeight="1">
      <c r="A355" s="1020" t="s">
        <v>1569</v>
      </c>
      <c r="B355" s="1022"/>
      <c r="C355" s="714" t="s">
        <v>1544</v>
      </c>
      <c r="D355" s="714"/>
      <c r="E355" s="714" t="s">
        <v>1544</v>
      </c>
      <c r="F355" s="829" t="s">
        <v>2229</v>
      </c>
      <c r="G355" s="1047">
        <v>8100</v>
      </c>
      <c r="H355" s="1099" t="s">
        <v>2273</v>
      </c>
      <c r="I355" s="717">
        <f>K355/100*60</f>
        <v>54000</v>
      </c>
      <c r="J355" s="717">
        <f>K355/100*40</f>
        <v>36000</v>
      </c>
      <c r="K355" s="717">
        <v>90000</v>
      </c>
    </row>
    <row r="356" spans="1:11" s="510" customFormat="1" ht="75" hidden="1" customHeight="1">
      <c r="A356" s="1020" t="s">
        <v>1546</v>
      </c>
      <c r="B356" s="1022"/>
      <c r="C356" s="714" t="s">
        <v>1544</v>
      </c>
      <c r="D356" s="714"/>
      <c r="E356" s="714" t="s">
        <v>1544</v>
      </c>
      <c r="F356" s="829" t="s">
        <v>2230</v>
      </c>
      <c r="G356" s="1048"/>
      <c r="H356" s="1100"/>
      <c r="I356" s="717">
        <f>K356/100*60</f>
        <v>75600</v>
      </c>
      <c r="J356" s="717">
        <f>K356/100*40</f>
        <v>50400</v>
      </c>
      <c r="K356" s="717">
        <v>126000</v>
      </c>
    </row>
    <row r="357" spans="1:11" s="510" customFormat="1" ht="75" hidden="1" customHeight="1">
      <c r="A357" s="1020" t="s">
        <v>1570</v>
      </c>
      <c r="B357" s="1022"/>
      <c r="C357" s="714" t="s">
        <v>1544</v>
      </c>
      <c r="D357" s="714"/>
      <c r="E357" s="714" t="s">
        <v>1544</v>
      </c>
      <c r="F357" s="829" t="s">
        <v>2231</v>
      </c>
      <c r="G357" s="1048"/>
      <c r="H357" s="1100"/>
      <c r="I357" s="717">
        <f>K357/100*60</f>
        <v>142448.4</v>
      </c>
      <c r="J357" s="717">
        <f>K357/100*40</f>
        <v>94965.599999999991</v>
      </c>
      <c r="K357" s="717">
        <v>237414</v>
      </c>
    </row>
    <row r="358" spans="1:11" ht="73.5" hidden="1" customHeight="1">
      <c r="A358" s="1011" t="s">
        <v>312</v>
      </c>
      <c r="B358" s="1013"/>
      <c r="C358" s="709"/>
      <c r="D358" s="709"/>
      <c r="E358" s="709"/>
      <c r="F358" s="708"/>
      <c r="G358" s="709"/>
      <c r="H358" s="710"/>
      <c r="I358" s="545">
        <f>I359</f>
        <v>12000</v>
      </c>
      <c r="J358" s="545">
        <f>J359</f>
        <v>8000</v>
      </c>
      <c r="K358" s="545">
        <f>I358+J358</f>
        <v>20000</v>
      </c>
    </row>
    <row r="359" spans="1:11" s="510" customFormat="1" ht="74.25" hidden="1" customHeight="1">
      <c r="A359" s="1020" t="s">
        <v>1543</v>
      </c>
      <c r="B359" s="1022"/>
      <c r="C359" s="714" t="s">
        <v>1544</v>
      </c>
      <c r="D359" s="714"/>
      <c r="E359" s="714" t="s">
        <v>1544</v>
      </c>
      <c r="F359" s="833" t="s">
        <v>2224</v>
      </c>
      <c r="G359" s="835">
        <v>8100</v>
      </c>
      <c r="H359" s="834" t="s">
        <v>2273</v>
      </c>
      <c r="I359" s="717">
        <f>K359/100*60</f>
        <v>12000</v>
      </c>
      <c r="J359" s="717">
        <f>K359/100*40</f>
        <v>8000</v>
      </c>
      <c r="K359" s="717">
        <v>20000</v>
      </c>
    </row>
    <row r="360" spans="1:11" s="743" customFormat="1" ht="36.75" hidden="1" customHeight="1">
      <c r="A360" s="1135"/>
      <c r="B360" s="1136"/>
      <c r="C360" s="738"/>
      <c r="D360" s="738"/>
      <c r="E360" s="739"/>
      <c r="F360" s="740"/>
      <c r="G360" s="741"/>
      <c r="H360" s="741"/>
      <c r="I360" s="742"/>
      <c r="J360" s="742"/>
      <c r="K360" s="742"/>
    </row>
    <row r="361" spans="1:11" ht="66" hidden="1" customHeight="1">
      <c r="A361" s="1031" t="s">
        <v>37</v>
      </c>
      <c r="B361" s="1033"/>
      <c r="C361" s="1037" t="s">
        <v>178</v>
      </c>
      <c r="D361" s="1037" t="s">
        <v>179</v>
      </c>
      <c r="E361" s="1037" t="s">
        <v>1521</v>
      </c>
      <c r="F361" s="1037" t="s">
        <v>14</v>
      </c>
      <c r="G361" s="1037" t="s">
        <v>1515</v>
      </c>
      <c r="H361" s="1037" t="s">
        <v>16</v>
      </c>
      <c r="I361" s="1039" t="s">
        <v>1490</v>
      </c>
      <c r="J361" s="1039" t="s">
        <v>2203</v>
      </c>
      <c r="K361" s="1037" t="s">
        <v>200</v>
      </c>
    </row>
    <row r="362" spans="1:11" s="500" customFormat="1" ht="30" hidden="1">
      <c r="A362" s="1034"/>
      <c r="B362" s="1036"/>
      <c r="C362" s="1038"/>
      <c r="D362" s="1038"/>
      <c r="E362" s="1038"/>
      <c r="F362" s="1038"/>
      <c r="G362" s="1038"/>
      <c r="H362" s="1038"/>
      <c r="I362" s="1039"/>
      <c r="J362" s="1039"/>
      <c r="K362" s="1038"/>
    </row>
    <row r="363" spans="1:11" s="500" customFormat="1" ht="74.25" hidden="1" customHeight="1">
      <c r="A363" s="1102" t="s">
        <v>1633</v>
      </c>
      <c r="B363" s="1103"/>
      <c r="C363" s="729"/>
      <c r="D363" s="729"/>
      <c r="E363" s="726"/>
      <c r="F363" s="727"/>
      <c r="G363" s="728"/>
      <c r="H363" s="728"/>
      <c r="I363" s="642">
        <f>I364+I366+I377+I379</f>
        <v>229105.19999999998</v>
      </c>
      <c r="J363" s="642">
        <f>J364+J366+J377+J379</f>
        <v>152736.79999999999</v>
      </c>
      <c r="K363" s="642">
        <f>I363+J363</f>
        <v>381842</v>
      </c>
    </row>
    <row r="364" spans="1:11" s="579" customFormat="1" ht="73.5" hidden="1" customHeight="1">
      <c r="A364" s="1011" t="s">
        <v>2251</v>
      </c>
      <c r="B364" s="1012"/>
      <c r="C364" s="1012"/>
      <c r="D364" s="1012"/>
      <c r="E364" s="1012"/>
      <c r="F364" s="1013"/>
      <c r="G364" s="709"/>
      <c r="H364" s="710"/>
      <c r="I364" s="545">
        <f>I365</f>
        <v>23547</v>
      </c>
      <c r="J364" s="545">
        <f>J365</f>
        <v>15698</v>
      </c>
      <c r="K364" s="545">
        <f>I364+J364</f>
        <v>39245</v>
      </c>
    </row>
    <row r="365" spans="1:11" s="510" customFormat="1" ht="74.25" hidden="1" customHeight="1">
      <c r="A365" s="1020" t="s">
        <v>1634</v>
      </c>
      <c r="B365" s="1022"/>
      <c r="C365" s="714" t="s">
        <v>147</v>
      </c>
      <c r="D365" s="714">
        <v>324</v>
      </c>
      <c r="E365" s="725" t="s">
        <v>1573</v>
      </c>
      <c r="F365" s="833" t="s">
        <v>2254</v>
      </c>
      <c r="G365" s="835">
        <v>8100</v>
      </c>
      <c r="H365" s="834" t="s">
        <v>2273</v>
      </c>
      <c r="I365" s="717">
        <f>K365/100*60</f>
        <v>23547</v>
      </c>
      <c r="J365" s="717">
        <f>K365/100*40</f>
        <v>15698</v>
      </c>
      <c r="K365" s="717">
        <v>39245</v>
      </c>
    </row>
    <row r="366" spans="1:11" ht="75" hidden="1" customHeight="1">
      <c r="A366" s="1011" t="s">
        <v>1541</v>
      </c>
      <c r="B366" s="1013"/>
      <c r="C366" s="709"/>
      <c r="D366" s="709"/>
      <c r="E366" s="709"/>
      <c r="F366" s="708"/>
      <c r="G366" s="709"/>
      <c r="H366" s="710"/>
      <c r="I366" s="545">
        <f>SUM(I367:I376)</f>
        <v>196858.19999999998</v>
      </c>
      <c r="J366" s="545">
        <f>SUM(J367:J376)</f>
        <v>131238.79999999999</v>
      </c>
      <c r="K366" s="545">
        <f>I366+J366</f>
        <v>328097</v>
      </c>
    </row>
    <row r="367" spans="1:11" s="510" customFormat="1" ht="74.25" hidden="1" customHeight="1">
      <c r="A367" s="1020" t="s">
        <v>1635</v>
      </c>
      <c r="B367" s="1022"/>
      <c r="C367" s="714" t="s">
        <v>1644</v>
      </c>
      <c r="D367" s="714">
        <v>10</v>
      </c>
      <c r="E367" s="725" t="s">
        <v>1645</v>
      </c>
      <c r="F367" s="833" t="s">
        <v>2236</v>
      </c>
      <c r="G367" s="1047">
        <v>8100</v>
      </c>
      <c r="H367" s="1099" t="s">
        <v>2273</v>
      </c>
      <c r="I367" s="717">
        <f t="shared" ref="I367:I376" si="11">K367/100*60</f>
        <v>35712</v>
      </c>
      <c r="J367" s="717">
        <f t="shared" ref="J367:J376" si="12">K367/100*40</f>
        <v>23808</v>
      </c>
      <c r="K367" s="717">
        <v>59520</v>
      </c>
    </row>
    <row r="368" spans="1:11" s="510" customFormat="1" ht="75" hidden="1" customHeight="1">
      <c r="A368" s="1020" t="s">
        <v>1636</v>
      </c>
      <c r="B368" s="1022"/>
      <c r="C368" s="714" t="s">
        <v>1657</v>
      </c>
      <c r="D368" s="714">
        <v>7</v>
      </c>
      <c r="E368" s="725" t="s">
        <v>1646</v>
      </c>
      <c r="F368" s="833" t="s">
        <v>2229</v>
      </c>
      <c r="G368" s="1048"/>
      <c r="H368" s="1100"/>
      <c r="I368" s="717">
        <f t="shared" si="11"/>
        <v>31320</v>
      </c>
      <c r="J368" s="717">
        <f t="shared" si="12"/>
        <v>20880</v>
      </c>
      <c r="K368" s="717">
        <v>52200</v>
      </c>
    </row>
    <row r="369" spans="1:11" s="510" customFormat="1" ht="75" hidden="1" customHeight="1">
      <c r="A369" s="1020" t="s">
        <v>1606</v>
      </c>
      <c r="B369" s="1022"/>
      <c r="C369" s="714" t="s">
        <v>1657</v>
      </c>
      <c r="D369" s="744">
        <v>16</v>
      </c>
      <c r="E369" s="725" t="s">
        <v>1647</v>
      </c>
      <c r="F369" s="1044" t="s">
        <v>2230</v>
      </c>
      <c r="G369" s="1048"/>
      <c r="H369" s="1100"/>
      <c r="I369" s="717">
        <f t="shared" si="11"/>
        <v>9720</v>
      </c>
      <c r="J369" s="717">
        <f t="shared" si="12"/>
        <v>6480</v>
      </c>
      <c r="K369" s="717">
        <v>16200</v>
      </c>
    </row>
    <row r="370" spans="1:11" s="510" customFormat="1" ht="75" hidden="1" customHeight="1">
      <c r="A370" s="1020" t="s">
        <v>1637</v>
      </c>
      <c r="B370" s="1022"/>
      <c r="C370" s="714" t="s">
        <v>1657</v>
      </c>
      <c r="D370" s="714">
        <v>16</v>
      </c>
      <c r="E370" s="725" t="s">
        <v>1648</v>
      </c>
      <c r="F370" s="1045"/>
      <c r="G370" s="1048"/>
      <c r="H370" s="1100"/>
      <c r="I370" s="717">
        <f t="shared" si="11"/>
        <v>4602.8100000000004</v>
      </c>
      <c r="J370" s="717">
        <f t="shared" si="12"/>
        <v>3068.5400000000004</v>
      </c>
      <c r="K370" s="717">
        <v>7671.35</v>
      </c>
    </row>
    <row r="371" spans="1:11" s="510" customFormat="1" ht="75" hidden="1" customHeight="1">
      <c r="A371" s="1020" t="s">
        <v>1638</v>
      </c>
      <c r="B371" s="1022"/>
      <c r="C371" s="714" t="s">
        <v>1649</v>
      </c>
      <c r="D371" s="714">
        <v>3</v>
      </c>
      <c r="E371" s="725" t="s">
        <v>1650</v>
      </c>
      <c r="F371" s="1045"/>
      <c r="G371" s="1048"/>
      <c r="H371" s="1100"/>
      <c r="I371" s="717">
        <f t="shared" si="11"/>
        <v>4320</v>
      </c>
      <c r="J371" s="717">
        <f t="shared" si="12"/>
        <v>2880</v>
      </c>
      <c r="K371" s="717">
        <v>7200</v>
      </c>
    </row>
    <row r="372" spans="1:11" s="510" customFormat="1" ht="75" hidden="1" customHeight="1">
      <c r="A372" s="1020" t="s">
        <v>1639</v>
      </c>
      <c r="B372" s="1022"/>
      <c r="C372" s="714" t="s">
        <v>1651</v>
      </c>
      <c r="D372" s="714">
        <v>8</v>
      </c>
      <c r="E372" s="725" t="s">
        <v>1652</v>
      </c>
      <c r="F372" s="1046"/>
      <c r="G372" s="1048"/>
      <c r="H372" s="1100"/>
      <c r="I372" s="717">
        <f t="shared" si="11"/>
        <v>1890</v>
      </c>
      <c r="J372" s="717">
        <f t="shared" si="12"/>
        <v>1260</v>
      </c>
      <c r="K372" s="717">
        <v>3150</v>
      </c>
    </row>
    <row r="373" spans="1:11" s="510" customFormat="1" ht="75" hidden="1" customHeight="1">
      <c r="A373" s="1020" t="s">
        <v>1640</v>
      </c>
      <c r="B373" s="1022"/>
      <c r="C373" s="714" t="s">
        <v>1658</v>
      </c>
      <c r="D373" s="714">
        <v>80</v>
      </c>
      <c r="E373" s="725" t="s">
        <v>1653</v>
      </c>
      <c r="F373" s="1044" t="s">
        <v>2231</v>
      </c>
      <c r="G373" s="1048"/>
      <c r="H373" s="1100"/>
      <c r="I373" s="717">
        <f t="shared" si="11"/>
        <v>44493.389999999992</v>
      </c>
      <c r="J373" s="717">
        <f t="shared" si="12"/>
        <v>29662.259999999995</v>
      </c>
      <c r="K373" s="717">
        <v>74155.649999999994</v>
      </c>
    </row>
    <row r="374" spans="1:11" s="510" customFormat="1" ht="75" hidden="1" customHeight="1">
      <c r="A374" s="1020" t="s">
        <v>1641</v>
      </c>
      <c r="B374" s="1022"/>
      <c r="C374" s="714" t="s">
        <v>1658</v>
      </c>
      <c r="D374" s="714">
        <v>40</v>
      </c>
      <c r="E374" s="725" t="s">
        <v>1654</v>
      </c>
      <c r="F374" s="1045"/>
      <c r="G374" s="1048"/>
      <c r="H374" s="1100"/>
      <c r="I374" s="717">
        <f t="shared" si="11"/>
        <v>27000</v>
      </c>
      <c r="J374" s="717">
        <f t="shared" si="12"/>
        <v>18000</v>
      </c>
      <c r="K374" s="717">
        <v>45000</v>
      </c>
    </row>
    <row r="375" spans="1:11" s="510" customFormat="1" ht="75" hidden="1" customHeight="1">
      <c r="A375" s="1020" t="s">
        <v>1642</v>
      </c>
      <c r="B375" s="1022"/>
      <c r="C375" s="714" t="s">
        <v>1658</v>
      </c>
      <c r="D375" s="714">
        <v>15</v>
      </c>
      <c r="E375" s="725" t="s">
        <v>1655</v>
      </c>
      <c r="F375" s="1045"/>
      <c r="G375" s="1048"/>
      <c r="H375" s="1100"/>
      <c r="I375" s="717">
        <f t="shared" si="11"/>
        <v>16200</v>
      </c>
      <c r="J375" s="717">
        <f t="shared" si="12"/>
        <v>10800</v>
      </c>
      <c r="K375" s="717">
        <v>27000</v>
      </c>
    </row>
    <row r="376" spans="1:11" s="510" customFormat="1" ht="75" hidden="1" customHeight="1">
      <c r="A376" s="1020" t="s">
        <v>1643</v>
      </c>
      <c r="B376" s="1022"/>
      <c r="C376" s="714" t="s">
        <v>1659</v>
      </c>
      <c r="D376" s="744">
        <v>85</v>
      </c>
      <c r="E376" s="725" t="s">
        <v>1656</v>
      </c>
      <c r="F376" s="1046"/>
      <c r="G376" s="1049"/>
      <c r="H376" s="1101"/>
      <c r="I376" s="717">
        <f t="shared" si="11"/>
        <v>21600</v>
      </c>
      <c r="J376" s="717">
        <f t="shared" si="12"/>
        <v>14400</v>
      </c>
      <c r="K376" s="717">
        <v>36000</v>
      </c>
    </row>
    <row r="377" spans="1:11" ht="74.25" hidden="1" customHeight="1">
      <c r="A377" s="1011" t="s">
        <v>278</v>
      </c>
      <c r="B377" s="1013"/>
      <c r="C377" s="504"/>
      <c r="D377" s="709"/>
      <c r="E377" s="709"/>
      <c r="F377" s="708"/>
      <c r="G377" s="709"/>
      <c r="H377" s="710"/>
      <c r="I377" s="545">
        <f>SUM(I378)</f>
        <v>2700</v>
      </c>
      <c r="J377" s="545">
        <f>SUM(J378)</f>
        <v>1800</v>
      </c>
      <c r="K377" s="545">
        <f>I377+J377</f>
        <v>4500</v>
      </c>
    </row>
    <row r="378" spans="1:11" s="510" customFormat="1" ht="74.25" hidden="1" customHeight="1">
      <c r="A378" s="1020" t="s">
        <v>1661</v>
      </c>
      <c r="B378" s="1022"/>
      <c r="C378" s="714" t="s">
        <v>1215</v>
      </c>
      <c r="D378" s="714">
        <v>50</v>
      </c>
      <c r="E378" s="725" t="s">
        <v>1660</v>
      </c>
      <c r="F378" s="833" t="s">
        <v>2234</v>
      </c>
      <c r="G378" s="835">
        <v>8100</v>
      </c>
      <c r="H378" s="834" t="s">
        <v>2445</v>
      </c>
      <c r="I378" s="717">
        <f>K378/100*60</f>
        <v>2700</v>
      </c>
      <c r="J378" s="717">
        <f>K378/100*40</f>
        <v>1800</v>
      </c>
      <c r="K378" s="717">
        <v>4500</v>
      </c>
    </row>
    <row r="379" spans="1:11" ht="73.5" hidden="1" customHeight="1">
      <c r="A379" s="1011" t="s">
        <v>312</v>
      </c>
      <c r="B379" s="1013"/>
      <c r="C379" s="709"/>
      <c r="D379" s="709"/>
      <c r="E379" s="709"/>
      <c r="F379" s="708"/>
      <c r="G379" s="709"/>
      <c r="H379" s="710"/>
      <c r="I379" s="545">
        <f>SUM(I380:I380)</f>
        <v>6000</v>
      </c>
      <c r="J379" s="545">
        <f>SUM(J380:J380)</f>
        <v>4000</v>
      </c>
      <c r="K379" s="545">
        <f>I379+J379</f>
        <v>10000</v>
      </c>
    </row>
    <row r="380" spans="1:11" s="510" customFormat="1" ht="74.25" hidden="1" customHeight="1">
      <c r="A380" s="1020" t="s">
        <v>1662</v>
      </c>
      <c r="B380" s="1022"/>
      <c r="C380" s="714" t="s">
        <v>1663</v>
      </c>
      <c r="D380" s="714">
        <v>16</v>
      </c>
      <c r="E380" s="725" t="s">
        <v>1664</v>
      </c>
      <c r="F380" s="833" t="s">
        <v>2224</v>
      </c>
      <c r="G380" s="835">
        <v>8100</v>
      </c>
      <c r="H380" s="834" t="s">
        <v>2273</v>
      </c>
      <c r="I380" s="717">
        <f>K380/100*60</f>
        <v>6000</v>
      </c>
      <c r="J380" s="717">
        <f>K380/100*40</f>
        <v>4000</v>
      </c>
      <c r="K380" s="717">
        <v>10000</v>
      </c>
    </row>
    <row r="381" spans="1:11" s="510" customFormat="1" ht="74.25" hidden="1" customHeight="1">
      <c r="A381" s="753"/>
      <c r="B381" s="753"/>
      <c r="C381" s="754"/>
      <c r="D381" s="754"/>
      <c r="E381" s="759"/>
      <c r="F381" s="755"/>
      <c r="G381" s="758"/>
      <c r="H381" s="756"/>
      <c r="I381" s="757"/>
      <c r="J381" s="757"/>
      <c r="K381" s="757"/>
    </row>
    <row r="382" spans="1:11" s="510" customFormat="1" ht="74.25" hidden="1" customHeight="1">
      <c r="A382" s="753"/>
      <c r="B382" s="753"/>
      <c r="C382" s="754"/>
      <c r="D382" s="754"/>
      <c r="E382" s="759"/>
      <c r="F382" s="755"/>
      <c r="G382" s="758"/>
      <c r="H382" s="756"/>
      <c r="I382" s="757"/>
      <c r="J382" s="757"/>
      <c r="K382" s="757"/>
    </row>
    <row r="383" spans="1:11" s="510" customFormat="1" ht="74.25" hidden="1" customHeight="1">
      <c r="A383" s="753"/>
      <c r="B383" s="753"/>
      <c r="C383" s="754"/>
      <c r="D383" s="754"/>
      <c r="E383" s="759"/>
      <c r="F383" s="755"/>
      <c r="G383" s="758"/>
      <c r="H383" s="756"/>
      <c r="I383" s="757"/>
      <c r="J383" s="757"/>
      <c r="K383" s="757"/>
    </row>
    <row r="384" spans="1:11" s="510" customFormat="1" ht="74.25" hidden="1" customHeight="1">
      <c r="A384" s="753"/>
      <c r="B384" s="753"/>
      <c r="C384" s="754"/>
      <c r="D384" s="754"/>
      <c r="E384" s="759"/>
      <c r="F384" s="755"/>
      <c r="G384" s="758"/>
      <c r="H384" s="756"/>
      <c r="I384" s="757"/>
      <c r="J384" s="757"/>
      <c r="K384" s="757"/>
    </row>
    <row r="385" spans="1:11" ht="34.5" hidden="1" customHeight="1">
      <c r="A385" s="1128" t="s">
        <v>51</v>
      </c>
      <c r="B385" s="1128"/>
      <c r="C385" s="1128"/>
      <c r="D385" s="1128"/>
      <c r="E385" s="1128"/>
      <c r="F385" s="1128"/>
      <c r="G385" s="1128"/>
      <c r="H385" s="1128"/>
      <c r="I385" s="1128"/>
      <c r="J385" s="1128"/>
      <c r="K385" s="1128"/>
    </row>
    <row r="386" spans="1:11" ht="30.75" hidden="1" customHeight="1">
      <c r="A386" s="1128" t="s">
        <v>52</v>
      </c>
      <c r="B386" s="1128"/>
      <c r="C386" s="1128"/>
      <c r="D386" s="1128"/>
      <c r="E386" s="1128"/>
      <c r="F386" s="1128"/>
      <c r="G386" s="1128"/>
      <c r="H386" s="1128"/>
      <c r="I386" s="1128"/>
      <c r="J386" s="1128"/>
      <c r="K386" s="1128"/>
    </row>
    <row r="387" spans="1:11" ht="33" hidden="1" customHeight="1">
      <c r="A387" s="1132" t="s">
        <v>50</v>
      </c>
      <c r="B387" s="1132"/>
      <c r="C387" s="1132"/>
      <c r="D387" s="1132"/>
      <c r="E387" s="1132"/>
      <c r="F387" s="1132"/>
      <c r="G387" s="1132"/>
      <c r="H387" s="1132"/>
      <c r="I387" s="1132"/>
      <c r="J387" s="1132"/>
      <c r="K387" s="1132"/>
    </row>
    <row r="388" spans="1:11" ht="33" hidden="1" customHeight="1">
      <c r="A388" s="154"/>
      <c r="B388" s="154"/>
      <c r="C388" s="154"/>
      <c r="D388" s="154"/>
      <c r="E388" s="154"/>
      <c r="F388" s="154"/>
      <c r="G388" s="707"/>
      <c r="H388" s="707"/>
      <c r="I388" s="707"/>
      <c r="J388" s="707"/>
      <c r="K388" s="707"/>
    </row>
    <row r="389" spans="1:11" ht="35.25" hidden="1">
      <c r="A389" s="1128" t="s">
        <v>1489</v>
      </c>
      <c r="B389" s="1128"/>
      <c r="C389" s="1128"/>
      <c r="D389" s="1128"/>
      <c r="E389" s="1128"/>
      <c r="F389" s="1128"/>
      <c r="G389" s="1128"/>
      <c r="H389" s="1128"/>
      <c r="I389" s="1128"/>
      <c r="J389" s="1128"/>
      <c r="K389" s="1128"/>
    </row>
    <row r="390" spans="1:11" s="620" customFormat="1" ht="33" hidden="1">
      <c r="A390" s="65"/>
      <c r="B390" s="65"/>
      <c r="C390" s="65"/>
      <c r="D390" s="65"/>
      <c r="E390" s="65"/>
      <c r="F390" s="65"/>
      <c r="G390" s="68"/>
      <c r="H390" s="68"/>
      <c r="I390" s="68"/>
      <c r="J390" s="68"/>
      <c r="K390" s="68"/>
    </row>
    <row r="391" spans="1:11" ht="20.100000000000001" hidden="1" customHeight="1">
      <c r="A391" s="65"/>
      <c r="B391" s="65"/>
      <c r="C391" s="65"/>
      <c r="D391" s="65"/>
      <c r="E391" s="65"/>
      <c r="F391" s="65"/>
      <c r="G391" s="68"/>
      <c r="H391" s="68"/>
      <c r="I391" s="68"/>
      <c r="J391" s="68"/>
      <c r="K391" s="68"/>
    </row>
    <row r="392" spans="1:11" ht="20.100000000000001" hidden="1" customHeight="1">
      <c r="A392" s="979"/>
      <c r="B392" s="979"/>
      <c r="C392" s="979"/>
      <c r="D392" s="979"/>
      <c r="E392" s="979"/>
      <c r="F392" s="979"/>
      <c r="G392" s="979"/>
      <c r="H392" s="979"/>
      <c r="I392" s="979"/>
      <c r="J392" s="979"/>
      <c r="K392" s="979"/>
    </row>
    <row r="393" spans="1:11" ht="45.75" hidden="1" customHeight="1">
      <c r="A393" s="1030" t="s">
        <v>1381</v>
      </c>
      <c r="B393" s="1030"/>
      <c r="C393" s="1030"/>
      <c r="D393" s="1030"/>
      <c r="E393" s="1030"/>
      <c r="F393" s="1030"/>
      <c r="G393" s="1030"/>
      <c r="H393" s="1030"/>
      <c r="I393" s="1030"/>
      <c r="J393" s="1030"/>
      <c r="K393" s="1030"/>
    </row>
    <row r="394" spans="1:11" ht="66" hidden="1" customHeight="1">
      <c r="A394" s="1039" t="s">
        <v>37</v>
      </c>
      <c r="B394" s="1039"/>
      <c r="C394" s="1039" t="s">
        <v>178</v>
      </c>
      <c r="D394" s="1039" t="s">
        <v>179</v>
      </c>
      <c r="E394" s="1039" t="s">
        <v>1521</v>
      </c>
      <c r="F394" s="1039" t="s">
        <v>14</v>
      </c>
      <c r="G394" s="1039" t="s">
        <v>1515</v>
      </c>
      <c r="H394" s="1039" t="s">
        <v>16</v>
      </c>
      <c r="I394" s="1039" t="s">
        <v>1490</v>
      </c>
      <c r="J394" s="1039" t="s">
        <v>2203</v>
      </c>
      <c r="K394" s="1039" t="s">
        <v>200</v>
      </c>
    </row>
    <row r="395" spans="1:11" s="500" customFormat="1" ht="30" hidden="1">
      <c r="A395" s="1039"/>
      <c r="B395" s="1039"/>
      <c r="C395" s="1039"/>
      <c r="D395" s="1039"/>
      <c r="E395" s="1039"/>
      <c r="F395" s="1039"/>
      <c r="G395" s="1039"/>
      <c r="H395" s="1039"/>
      <c r="I395" s="1039"/>
      <c r="J395" s="1039"/>
      <c r="K395" s="1039"/>
    </row>
    <row r="396" spans="1:11" s="500" customFormat="1" ht="74.25" hidden="1" customHeight="1">
      <c r="A396" s="1102" t="s">
        <v>1563</v>
      </c>
      <c r="B396" s="1103"/>
      <c r="C396" s="729"/>
      <c r="D396" s="729"/>
      <c r="E396" s="726"/>
      <c r="F396" s="727"/>
      <c r="G396" s="728"/>
      <c r="H396" s="728"/>
      <c r="I396" s="642">
        <f>I397+I403+I405</f>
        <v>99103.8</v>
      </c>
      <c r="J396" s="642">
        <f>J397+J403+J405</f>
        <v>66069.2</v>
      </c>
      <c r="K396" s="642">
        <f>I396+J396</f>
        <v>165173</v>
      </c>
    </row>
    <row r="397" spans="1:11" ht="75" hidden="1" customHeight="1">
      <c r="A397" s="1011" t="s">
        <v>1541</v>
      </c>
      <c r="B397" s="1013"/>
      <c r="C397" s="709"/>
      <c r="D397" s="709"/>
      <c r="E397" s="709"/>
      <c r="F397" s="708"/>
      <c r="G397" s="709"/>
      <c r="H397" s="710"/>
      <c r="I397" s="545">
        <f>SUM(I398:I402)</f>
        <v>85878</v>
      </c>
      <c r="J397" s="545">
        <f>SUM(J398:J402)</f>
        <v>57252</v>
      </c>
      <c r="K397" s="545">
        <f>I397+J397</f>
        <v>143130</v>
      </c>
    </row>
    <row r="398" spans="1:11" s="510" customFormat="1" ht="74.25" hidden="1" customHeight="1">
      <c r="A398" s="1020" t="s">
        <v>1545</v>
      </c>
      <c r="B398" s="1022"/>
      <c r="C398" s="714" t="s">
        <v>1550</v>
      </c>
      <c r="D398" s="714">
        <v>6</v>
      </c>
      <c r="E398" s="725" t="s">
        <v>1558</v>
      </c>
      <c r="F398" s="829" t="s">
        <v>2229</v>
      </c>
      <c r="G398" s="1047">
        <v>8100</v>
      </c>
      <c r="H398" s="1099" t="s">
        <v>2273</v>
      </c>
      <c r="I398" s="717">
        <f>K398/100*60</f>
        <v>13800</v>
      </c>
      <c r="J398" s="717">
        <f>K398/100*40</f>
        <v>9200</v>
      </c>
      <c r="K398" s="717">
        <v>23000</v>
      </c>
    </row>
    <row r="399" spans="1:11" s="510" customFormat="1" ht="75" hidden="1" customHeight="1">
      <c r="A399" s="1020" t="s">
        <v>1546</v>
      </c>
      <c r="B399" s="1022"/>
      <c r="C399" s="714" t="s">
        <v>1551</v>
      </c>
      <c r="D399" s="714">
        <v>3</v>
      </c>
      <c r="E399" s="725" t="s">
        <v>1559</v>
      </c>
      <c r="F399" s="829" t="s">
        <v>2230</v>
      </c>
      <c r="G399" s="1048"/>
      <c r="H399" s="1100"/>
      <c r="I399" s="717">
        <f>K399/100*60</f>
        <v>27000</v>
      </c>
      <c r="J399" s="717">
        <f>K399/100*40</f>
        <v>18000</v>
      </c>
      <c r="K399" s="717">
        <v>45000</v>
      </c>
    </row>
    <row r="400" spans="1:11" s="510" customFormat="1" ht="75" hidden="1" customHeight="1">
      <c r="A400" s="1020" t="s">
        <v>1547</v>
      </c>
      <c r="B400" s="1022"/>
      <c r="C400" s="714" t="s">
        <v>1552</v>
      </c>
      <c r="D400" s="714">
        <v>70</v>
      </c>
      <c r="E400" s="725" t="s">
        <v>1559</v>
      </c>
      <c r="F400" s="1044" t="s">
        <v>2231</v>
      </c>
      <c r="G400" s="1048"/>
      <c r="H400" s="1100"/>
      <c r="I400" s="717">
        <f>K400/100*60</f>
        <v>4200</v>
      </c>
      <c r="J400" s="717">
        <f>K400/100*40</f>
        <v>2800</v>
      </c>
      <c r="K400" s="717">
        <v>7000</v>
      </c>
    </row>
    <row r="401" spans="1:11" s="510" customFormat="1" ht="75" hidden="1" customHeight="1">
      <c r="A401" s="1020" t="s">
        <v>1548</v>
      </c>
      <c r="B401" s="1022"/>
      <c r="C401" s="714" t="s">
        <v>1553</v>
      </c>
      <c r="D401" s="714">
        <v>20</v>
      </c>
      <c r="E401" s="725" t="s">
        <v>1560</v>
      </c>
      <c r="F401" s="1045"/>
      <c r="G401" s="1048"/>
      <c r="H401" s="1100"/>
      <c r="I401" s="717">
        <f>K401/100*60</f>
        <v>6900</v>
      </c>
      <c r="J401" s="717">
        <f>K401/100*40</f>
        <v>4600</v>
      </c>
      <c r="K401" s="717">
        <v>11500</v>
      </c>
    </row>
    <row r="402" spans="1:11" s="510" customFormat="1" ht="75" hidden="1" customHeight="1">
      <c r="A402" s="1020" t="s">
        <v>1549</v>
      </c>
      <c r="B402" s="1022"/>
      <c r="C402" s="714" t="s">
        <v>1523</v>
      </c>
      <c r="D402" s="714">
        <v>4</v>
      </c>
      <c r="E402" s="725" t="s">
        <v>1561</v>
      </c>
      <c r="F402" s="1046"/>
      <c r="G402" s="1049"/>
      <c r="H402" s="1101"/>
      <c r="I402" s="717">
        <f>K402/100*60</f>
        <v>33978</v>
      </c>
      <c r="J402" s="717">
        <f>K402/100*40</f>
        <v>22652</v>
      </c>
      <c r="K402" s="717">
        <v>56630</v>
      </c>
    </row>
    <row r="403" spans="1:11" ht="74.25" hidden="1" customHeight="1">
      <c r="A403" s="1011" t="s">
        <v>278</v>
      </c>
      <c r="B403" s="1013"/>
      <c r="C403" s="504"/>
      <c r="D403" s="709"/>
      <c r="E403" s="709"/>
      <c r="F403" s="708"/>
      <c r="G403" s="709"/>
      <c r="H403" s="710"/>
      <c r="I403" s="545">
        <f>SUM(I404)</f>
        <v>8100</v>
      </c>
      <c r="J403" s="545">
        <f>SUM(J404)</f>
        <v>5400</v>
      </c>
      <c r="K403" s="545">
        <f>I403+J403</f>
        <v>13500</v>
      </c>
    </row>
    <row r="404" spans="1:11" s="510" customFormat="1" ht="74.25" hidden="1" customHeight="1">
      <c r="A404" s="1020" t="s">
        <v>1554</v>
      </c>
      <c r="B404" s="1022"/>
      <c r="C404" s="714" t="s">
        <v>18</v>
      </c>
      <c r="D404" s="714">
        <v>10</v>
      </c>
      <c r="E404" s="725" t="s">
        <v>1526</v>
      </c>
      <c r="F404" s="833" t="s">
        <v>2234</v>
      </c>
      <c r="G404" s="835">
        <v>8100</v>
      </c>
      <c r="H404" s="834" t="s">
        <v>2445</v>
      </c>
      <c r="I404" s="717">
        <f>K404/100*60</f>
        <v>8100</v>
      </c>
      <c r="J404" s="717">
        <f>K404/100*40</f>
        <v>5400</v>
      </c>
      <c r="K404" s="717">
        <v>13500</v>
      </c>
    </row>
    <row r="405" spans="1:11" ht="73.5" hidden="1" customHeight="1">
      <c r="A405" s="1011" t="s">
        <v>312</v>
      </c>
      <c r="B405" s="1013"/>
      <c r="C405" s="709"/>
      <c r="D405" s="709"/>
      <c r="E405" s="709"/>
      <c r="F405" s="708"/>
      <c r="G405" s="709"/>
      <c r="H405" s="710"/>
      <c r="I405" s="545">
        <f>SUM(I406:I407)</f>
        <v>5125.8</v>
      </c>
      <c r="J405" s="545">
        <f>SUM(J406:J407)</f>
        <v>3417.2000000000003</v>
      </c>
      <c r="K405" s="545">
        <f>SUM(K406:K407)</f>
        <v>8543</v>
      </c>
    </row>
    <row r="406" spans="1:11" s="510" customFormat="1" ht="74.25" hidden="1" customHeight="1">
      <c r="A406" s="1020" t="s">
        <v>1555</v>
      </c>
      <c r="B406" s="1022"/>
      <c r="C406" s="714" t="s">
        <v>1551</v>
      </c>
      <c r="D406" s="714">
        <v>3</v>
      </c>
      <c r="E406" s="725" t="s">
        <v>1560</v>
      </c>
      <c r="F406" s="1044" t="s">
        <v>2224</v>
      </c>
      <c r="G406" s="1047">
        <v>8100</v>
      </c>
      <c r="H406" s="1099" t="s">
        <v>2273</v>
      </c>
      <c r="I406" s="717">
        <f>K406/100*60</f>
        <v>1200</v>
      </c>
      <c r="J406" s="717">
        <f>K406/100*40</f>
        <v>800</v>
      </c>
      <c r="K406" s="717">
        <v>2000</v>
      </c>
    </row>
    <row r="407" spans="1:11" s="510" customFormat="1" ht="74.25" hidden="1" customHeight="1">
      <c r="A407" s="1020" t="s">
        <v>1556</v>
      </c>
      <c r="B407" s="1022"/>
      <c r="C407" s="714" t="s">
        <v>1557</v>
      </c>
      <c r="D407" s="714">
        <v>11</v>
      </c>
      <c r="E407" s="725" t="s">
        <v>1562</v>
      </c>
      <c r="F407" s="1046"/>
      <c r="G407" s="1049"/>
      <c r="H407" s="1101"/>
      <c r="I407" s="717">
        <f>K407/100*60</f>
        <v>3925.8</v>
      </c>
      <c r="J407" s="717">
        <f>K407/100*40</f>
        <v>2617.2000000000003</v>
      </c>
      <c r="K407" s="717">
        <v>6543</v>
      </c>
    </row>
    <row r="408" spans="1:11" s="743" customFormat="1" ht="36.75" hidden="1" customHeight="1">
      <c r="A408" s="1135"/>
      <c r="B408" s="1136"/>
      <c r="C408" s="738"/>
      <c r="D408" s="738"/>
      <c r="E408" s="739"/>
      <c r="F408" s="740"/>
      <c r="G408" s="741"/>
      <c r="H408" s="741"/>
      <c r="I408" s="742"/>
      <c r="J408" s="742"/>
      <c r="K408" s="742"/>
    </row>
    <row r="409" spans="1:11" ht="66" hidden="1" customHeight="1">
      <c r="A409" s="1031" t="s">
        <v>37</v>
      </c>
      <c r="B409" s="1033"/>
      <c r="C409" s="1037" t="s">
        <v>178</v>
      </c>
      <c r="D409" s="1037" t="s">
        <v>179</v>
      </c>
      <c r="E409" s="1037" t="s">
        <v>1521</v>
      </c>
      <c r="F409" s="1037" t="s">
        <v>14</v>
      </c>
      <c r="G409" s="1037" t="s">
        <v>1515</v>
      </c>
      <c r="H409" s="1037" t="s">
        <v>16</v>
      </c>
      <c r="I409" s="1039" t="s">
        <v>1490</v>
      </c>
      <c r="J409" s="1039" t="s">
        <v>2203</v>
      </c>
      <c r="K409" s="1037" t="s">
        <v>200</v>
      </c>
    </row>
    <row r="410" spans="1:11" s="500" customFormat="1" ht="30" hidden="1">
      <c r="A410" s="1034"/>
      <c r="B410" s="1036"/>
      <c r="C410" s="1038"/>
      <c r="D410" s="1038"/>
      <c r="E410" s="1038"/>
      <c r="F410" s="1038"/>
      <c r="G410" s="1038"/>
      <c r="H410" s="1038"/>
      <c r="I410" s="1039"/>
      <c r="J410" s="1039"/>
      <c r="K410" s="1038"/>
    </row>
    <row r="411" spans="1:11" s="500" customFormat="1" ht="74.25" hidden="1" customHeight="1">
      <c r="A411" s="1102" t="s">
        <v>1514</v>
      </c>
      <c r="B411" s="1103"/>
      <c r="C411" s="729"/>
      <c r="D411" s="729"/>
      <c r="E411" s="726"/>
      <c r="F411" s="727"/>
      <c r="G411" s="728"/>
      <c r="H411" s="728"/>
      <c r="I411" s="642">
        <f>I412+I414+I418+I420</f>
        <v>458095.80000000005</v>
      </c>
      <c r="J411" s="642">
        <f>J412+J414+J418+J420</f>
        <v>305397.2</v>
      </c>
      <c r="K411" s="642">
        <f>I411+J411</f>
        <v>763493</v>
      </c>
    </row>
    <row r="412" spans="1:11" s="579" customFormat="1" ht="73.5" hidden="1" customHeight="1">
      <c r="A412" s="1011" t="s">
        <v>2251</v>
      </c>
      <c r="B412" s="1012"/>
      <c r="C412" s="1012"/>
      <c r="D412" s="1012"/>
      <c r="E412" s="1012"/>
      <c r="F412" s="1013"/>
      <c r="G412" s="709"/>
      <c r="H412" s="710"/>
      <c r="I412" s="545">
        <f>I413</f>
        <v>20635.2</v>
      </c>
      <c r="J412" s="545">
        <f>J413</f>
        <v>13756.800000000001</v>
      </c>
      <c r="K412" s="545">
        <f>I412+J412</f>
        <v>34392</v>
      </c>
    </row>
    <row r="413" spans="1:11" s="510" customFormat="1" ht="74.25" hidden="1" customHeight="1">
      <c r="A413" s="1020" t="s">
        <v>1512</v>
      </c>
      <c r="B413" s="1022"/>
      <c r="C413" s="714" t="s">
        <v>147</v>
      </c>
      <c r="D413" s="714">
        <v>50</v>
      </c>
      <c r="E413" s="725" t="s">
        <v>1516</v>
      </c>
      <c r="F413" s="833" t="s">
        <v>2255</v>
      </c>
      <c r="G413" s="835">
        <v>8100</v>
      </c>
      <c r="H413" s="834" t="s">
        <v>2273</v>
      </c>
      <c r="I413" s="717">
        <f>K413/100*60</f>
        <v>20635.2</v>
      </c>
      <c r="J413" s="717">
        <f>K413/100*40</f>
        <v>13756.800000000001</v>
      </c>
      <c r="K413" s="717">
        <v>34392</v>
      </c>
    </row>
    <row r="414" spans="1:11" ht="75" hidden="1" customHeight="1">
      <c r="A414" s="1011" t="s">
        <v>1541</v>
      </c>
      <c r="B414" s="1013"/>
      <c r="C414" s="709"/>
      <c r="D414" s="709"/>
      <c r="E414" s="709"/>
      <c r="F414" s="708"/>
      <c r="G414" s="709"/>
      <c r="H414" s="710"/>
      <c r="I414" s="545">
        <f>SUM(I415:I417)</f>
        <v>412860.60000000003</v>
      </c>
      <c r="J414" s="545">
        <f>SUM(J415:J417)</f>
        <v>275240.40000000002</v>
      </c>
      <c r="K414" s="545">
        <f>I414+J414</f>
        <v>688101</v>
      </c>
    </row>
    <row r="415" spans="1:11" s="510" customFormat="1" ht="74.25" hidden="1" customHeight="1">
      <c r="A415" s="1020" t="s">
        <v>1565</v>
      </c>
      <c r="B415" s="1022"/>
      <c r="C415" s="714" t="s">
        <v>1517</v>
      </c>
      <c r="D415" s="714">
        <v>70</v>
      </c>
      <c r="E415" s="725" t="s">
        <v>1518</v>
      </c>
      <c r="F415" s="829" t="s">
        <v>2229</v>
      </c>
      <c r="G415" s="1047">
        <v>8100</v>
      </c>
      <c r="H415" s="1099" t="s">
        <v>2273</v>
      </c>
      <c r="I415" s="717">
        <f>K415/100*60</f>
        <v>271938.60000000003</v>
      </c>
      <c r="J415" s="717">
        <f>K415/100*40</f>
        <v>181292.40000000002</v>
      </c>
      <c r="K415" s="717">
        <v>453231</v>
      </c>
    </row>
    <row r="416" spans="1:11" s="510" customFormat="1" ht="75" hidden="1" customHeight="1">
      <c r="A416" s="1020" t="s">
        <v>1513</v>
      </c>
      <c r="B416" s="1022"/>
      <c r="C416" s="714" t="s">
        <v>1519</v>
      </c>
      <c r="D416" s="714">
        <v>40</v>
      </c>
      <c r="E416" s="725" t="s">
        <v>1520</v>
      </c>
      <c r="F416" s="829" t="s">
        <v>2230</v>
      </c>
      <c r="G416" s="1048"/>
      <c r="H416" s="1100"/>
      <c r="I416" s="717">
        <f>K416/100*60</f>
        <v>60000</v>
      </c>
      <c r="J416" s="717">
        <f>K416/100*40</f>
        <v>40000</v>
      </c>
      <c r="K416" s="717">
        <v>100000</v>
      </c>
    </row>
    <row r="417" spans="1:11" s="510" customFormat="1" ht="75" hidden="1" customHeight="1">
      <c r="A417" s="1020" t="s">
        <v>1522</v>
      </c>
      <c r="B417" s="1022"/>
      <c r="C417" s="714" t="s">
        <v>1523</v>
      </c>
      <c r="D417" s="714">
        <v>40</v>
      </c>
      <c r="E417" s="725" t="s">
        <v>1524</v>
      </c>
      <c r="F417" s="829" t="s">
        <v>2231</v>
      </c>
      <c r="G417" s="1049"/>
      <c r="H417" s="1101"/>
      <c r="I417" s="717">
        <f>K417/100*60</f>
        <v>80922</v>
      </c>
      <c r="J417" s="717">
        <f>K417/100*40</f>
        <v>53948</v>
      </c>
      <c r="K417" s="717">
        <v>134870</v>
      </c>
    </row>
    <row r="418" spans="1:11" ht="74.25" hidden="1" customHeight="1">
      <c r="A418" s="1011" t="s">
        <v>278</v>
      </c>
      <c r="B418" s="1013"/>
      <c r="C418" s="504"/>
      <c r="D418" s="709"/>
      <c r="E418" s="709"/>
      <c r="F418" s="708"/>
      <c r="G418" s="709"/>
      <c r="H418" s="710"/>
      <c r="I418" s="545">
        <f>SUM(I419)</f>
        <v>6600</v>
      </c>
      <c r="J418" s="545">
        <f>SUM(J419)</f>
        <v>4400</v>
      </c>
      <c r="K418" s="545">
        <f>I418+J418</f>
        <v>11000</v>
      </c>
    </row>
    <row r="419" spans="1:11" s="510" customFormat="1" ht="74.25" hidden="1" customHeight="1">
      <c r="A419" s="1020" t="s">
        <v>1510</v>
      </c>
      <c r="B419" s="1022"/>
      <c r="C419" s="714" t="s">
        <v>18</v>
      </c>
      <c r="D419" s="714">
        <v>30</v>
      </c>
      <c r="E419" s="725" t="s">
        <v>1526</v>
      </c>
      <c r="F419" s="833" t="s">
        <v>2234</v>
      </c>
      <c r="G419" s="835">
        <v>8100</v>
      </c>
      <c r="H419" s="834" t="s">
        <v>2445</v>
      </c>
      <c r="I419" s="717">
        <f>K419/100*60</f>
        <v>6600</v>
      </c>
      <c r="J419" s="717">
        <f>K419/100*40</f>
        <v>4400</v>
      </c>
      <c r="K419" s="717">
        <v>11000</v>
      </c>
    </row>
    <row r="420" spans="1:11" ht="73.5" hidden="1" customHeight="1">
      <c r="A420" s="1011" t="s">
        <v>312</v>
      </c>
      <c r="B420" s="1013"/>
      <c r="C420" s="709"/>
      <c r="D420" s="709"/>
      <c r="E420" s="709"/>
      <c r="F420" s="708"/>
      <c r="G420" s="709"/>
      <c r="H420" s="710"/>
      <c r="I420" s="545">
        <f>I421</f>
        <v>18000</v>
      </c>
      <c r="J420" s="545">
        <f>J421</f>
        <v>12000</v>
      </c>
      <c r="K420" s="545">
        <f>I420+J420</f>
        <v>30000</v>
      </c>
    </row>
    <row r="421" spans="1:11" s="510" customFormat="1" ht="74.25" hidden="1" customHeight="1">
      <c r="A421" s="1020" t="s">
        <v>1511</v>
      </c>
      <c r="B421" s="1022"/>
      <c r="C421" s="714" t="s">
        <v>1525</v>
      </c>
      <c r="D421" s="714">
        <v>60</v>
      </c>
      <c r="E421" s="725" t="s">
        <v>1527</v>
      </c>
      <c r="F421" s="833" t="s">
        <v>2224</v>
      </c>
      <c r="G421" s="835">
        <v>8100</v>
      </c>
      <c r="H421" s="834" t="s">
        <v>2273</v>
      </c>
      <c r="I421" s="717">
        <f>K421/100*60</f>
        <v>18000</v>
      </c>
      <c r="J421" s="717">
        <f>K421/100*40</f>
        <v>12000</v>
      </c>
      <c r="K421" s="717">
        <v>30000</v>
      </c>
    </row>
    <row r="422" spans="1:11" s="510" customFormat="1" ht="74.25" hidden="1" customHeight="1">
      <c r="A422" s="753"/>
      <c r="B422" s="753"/>
      <c r="C422" s="754"/>
      <c r="D422" s="754"/>
      <c r="E422" s="759"/>
      <c r="F422" s="755"/>
      <c r="G422" s="758"/>
      <c r="H422" s="756"/>
      <c r="I422" s="757"/>
      <c r="J422" s="757"/>
      <c r="K422" s="757"/>
    </row>
    <row r="423" spans="1:11" s="510" customFormat="1" ht="74.25" hidden="1" customHeight="1">
      <c r="A423" s="753"/>
      <c r="B423" s="753"/>
      <c r="C423" s="754"/>
      <c r="D423" s="754"/>
      <c r="E423" s="759"/>
      <c r="F423" s="755"/>
      <c r="G423" s="758"/>
      <c r="H423" s="756"/>
      <c r="I423" s="757"/>
      <c r="J423" s="757"/>
      <c r="K423" s="757"/>
    </row>
    <row r="424" spans="1:11" s="510" customFormat="1" ht="74.25" hidden="1" customHeight="1">
      <c r="A424" s="753"/>
      <c r="B424" s="753"/>
      <c r="C424" s="754"/>
      <c r="D424" s="754"/>
      <c r="E424" s="759"/>
      <c r="F424" s="755"/>
      <c r="G424" s="758"/>
      <c r="H424" s="756"/>
      <c r="I424" s="757"/>
      <c r="J424" s="757"/>
      <c r="K424" s="757"/>
    </row>
    <row r="425" spans="1:11" s="510" customFormat="1" ht="74.25" hidden="1" customHeight="1">
      <c r="A425" s="753"/>
      <c r="B425" s="753"/>
      <c r="C425" s="754"/>
      <c r="D425" s="754"/>
      <c r="E425" s="759"/>
      <c r="F425" s="755"/>
      <c r="G425" s="758"/>
      <c r="H425" s="756"/>
      <c r="I425" s="757"/>
      <c r="J425" s="757"/>
      <c r="K425" s="757"/>
    </row>
    <row r="426" spans="1:11" s="510" customFormat="1" ht="74.25" hidden="1" customHeight="1">
      <c r="A426" s="753"/>
      <c r="B426" s="753"/>
      <c r="C426" s="754"/>
      <c r="D426" s="754"/>
      <c r="E426" s="759"/>
      <c r="F426" s="755"/>
      <c r="G426" s="758"/>
      <c r="H426" s="756"/>
      <c r="I426" s="757"/>
      <c r="J426" s="757"/>
      <c r="K426" s="757"/>
    </row>
    <row r="427" spans="1:11" ht="34.5" hidden="1" customHeight="1">
      <c r="A427" s="1128" t="s">
        <v>51</v>
      </c>
      <c r="B427" s="1128"/>
      <c r="C427" s="1128"/>
      <c r="D427" s="1128"/>
      <c r="E427" s="1128"/>
      <c r="F427" s="1128"/>
      <c r="G427" s="1128"/>
      <c r="H427" s="1128"/>
      <c r="I427" s="1128"/>
      <c r="J427" s="1128"/>
      <c r="K427" s="1128"/>
    </row>
    <row r="428" spans="1:11" ht="30.75" hidden="1" customHeight="1">
      <c r="A428" s="1128" t="s">
        <v>52</v>
      </c>
      <c r="B428" s="1128"/>
      <c r="C428" s="1128"/>
      <c r="D428" s="1128"/>
      <c r="E428" s="1128"/>
      <c r="F428" s="1128"/>
      <c r="G428" s="1128"/>
      <c r="H428" s="1128"/>
      <c r="I428" s="1128"/>
      <c r="J428" s="1128"/>
      <c r="K428" s="1128"/>
    </row>
    <row r="429" spans="1:11" ht="33" hidden="1" customHeight="1">
      <c r="A429" s="1132" t="s">
        <v>50</v>
      </c>
      <c r="B429" s="1132"/>
      <c r="C429" s="1132"/>
      <c r="D429" s="1132"/>
      <c r="E429" s="1132"/>
      <c r="F429" s="1132"/>
      <c r="G429" s="1132"/>
      <c r="H429" s="1132"/>
      <c r="I429" s="1132"/>
      <c r="J429" s="1132"/>
      <c r="K429" s="1132"/>
    </row>
    <row r="430" spans="1:11" ht="33" hidden="1" customHeight="1">
      <c r="A430" s="154"/>
      <c r="B430" s="154"/>
      <c r="C430" s="154"/>
      <c r="D430" s="154"/>
      <c r="E430" s="154"/>
      <c r="F430" s="154"/>
      <c r="G430" s="707"/>
      <c r="H430" s="707"/>
      <c r="I430" s="707"/>
      <c r="J430" s="707"/>
      <c r="K430" s="707"/>
    </row>
    <row r="431" spans="1:11" ht="35.25" hidden="1">
      <c r="A431" s="1128" t="s">
        <v>1489</v>
      </c>
      <c r="B431" s="1128"/>
      <c r="C431" s="1128"/>
      <c r="D431" s="1128"/>
      <c r="E431" s="1128"/>
      <c r="F431" s="1128"/>
      <c r="G431" s="1128"/>
      <c r="H431" s="1128"/>
      <c r="I431" s="1128"/>
      <c r="J431" s="1128"/>
      <c r="K431" s="1128"/>
    </row>
    <row r="432" spans="1:11" s="620" customFormat="1" ht="33" hidden="1">
      <c r="A432" s="65"/>
      <c r="B432" s="65"/>
      <c r="C432" s="65"/>
      <c r="D432" s="65"/>
      <c r="E432" s="65"/>
      <c r="F432" s="65"/>
      <c r="G432" s="68"/>
      <c r="H432" s="68"/>
      <c r="I432" s="68"/>
      <c r="J432" s="68"/>
      <c r="K432" s="68"/>
    </row>
    <row r="433" spans="1:11" ht="20.100000000000001" hidden="1" customHeight="1">
      <c r="A433" s="65"/>
      <c r="B433" s="65"/>
      <c r="C433" s="65"/>
      <c r="D433" s="65"/>
      <c r="E433" s="65"/>
      <c r="F433" s="65"/>
      <c r="G433" s="68"/>
      <c r="H433" s="68"/>
      <c r="I433" s="68"/>
      <c r="J433" s="68"/>
      <c r="K433" s="68"/>
    </row>
    <row r="434" spans="1:11" ht="20.100000000000001" hidden="1" customHeight="1">
      <c r="A434" s="979"/>
      <c r="B434" s="979"/>
      <c r="C434" s="979"/>
      <c r="D434" s="979"/>
      <c r="E434" s="979"/>
      <c r="F434" s="979"/>
      <c r="G434" s="979"/>
      <c r="H434" s="979"/>
      <c r="I434" s="979"/>
      <c r="J434" s="979"/>
      <c r="K434" s="979"/>
    </row>
    <row r="435" spans="1:11" ht="45.75" hidden="1" customHeight="1">
      <c r="A435" s="1030" t="s">
        <v>1381</v>
      </c>
      <c r="B435" s="1030"/>
      <c r="C435" s="1030"/>
      <c r="D435" s="1030"/>
      <c r="E435" s="1030"/>
      <c r="F435" s="1030"/>
      <c r="G435" s="1030"/>
      <c r="H435" s="1030"/>
      <c r="I435" s="1030"/>
      <c r="J435" s="1030"/>
      <c r="K435" s="1030"/>
    </row>
    <row r="436" spans="1:11" ht="66" hidden="1" customHeight="1">
      <c r="A436" s="1031" t="s">
        <v>37</v>
      </c>
      <c r="B436" s="1033"/>
      <c r="C436" s="1037" t="s">
        <v>178</v>
      </c>
      <c r="D436" s="1037" t="s">
        <v>179</v>
      </c>
      <c r="E436" s="1037" t="s">
        <v>1521</v>
      </c>
      <c r="F436" s="1037" t="s">
        <v>14</v>
      </c>
      <c r="G436" s="1037" t="s">
        <v>1515</v>
      </c>
      <c r="H436" s="1037" t="s">
        <v>16</v>
      </c>
      <c r="I436" s="1039" t="s">
        <v>1490</v>
      </c>
      <c r="J436" s="1039" t="s">
        <v>2203</v>
      </c>
      <c r="K436" s="1037" t="s">
        <v>200</v>
      </c>
    </row>
    <row r="437" spans="1:11" s="500" customFormat="1" ht="30" hidden="1">
      <c r="A437" s="1034"/>
      <c r="B437" s="1036"/>
      <c r="C437" s="1038"/>
      <c r="D437" s="1038"/>
      <c r="E437" s="1038"/>
      <c r="F437" s="1038"/>
      <c r="G437" s="1038"/>
      <c r="H437" s="1038"/>
      <c r="I437" s="1039"/>
      <c r="J437" s="1039"/>
      <c r="K437" s="1038"/>
    </row>
    <row r="438" spans="1:11" s="500" customFormat="1" ht="74.25" hidden="1" customHeight="1">
      <c r="A438" s="1102" t="s">
        <v>1665</v>
      </c>
      <c r="B438" s="1103"/>
      <c r="C438" s="729"/>
      <c r="D438" s="729"/>
      <c r="E438" s="726"/>
      <c r="F438" s="727"/>
      <c r="G438" s="728"/>
      <c r="H438" s="728"/>
      <c r="I438" s="642">
        <f>I439+I441+I452+I454</f>
        <v>458956.2</v>
      </c>
      <c r="J438" s="642">
        <f>J439+J441+J452+J454</f>
        <v>305970.8</v>
      </c>
      <c r="K438" s="642">
        <f>I438+J438</f>
        <v>764927</v>
      </c>
    </row>
    <row r="439" spans="1:11" s="579" customFormat="1" ht="73.5" hidden="1" customHeight="1">
      <c r="A439" s="1011" t="s">
        <v>2251</v>
      </c>
      <c r="B439" s="1012"/>
      <c r="C439" s="1012"/>
      <c r="D439" s="1012"/>
      <c r="E439" s="1012"/>
      <c r="F439" s="1013"/>
      <c r="G439" s="709"/>
      <c r="H439" s="710"/>
      <c r="I439" s="545">
        <f>I440</f>
        <v>39048.6</v>
      </c>
      <c r="J439" s="545">
        <f>J440</f>
        <v>26032.399999999998</v>
      </c>
      <c r="K439" s="545">
        <f>I439+J439</f>
        <v>65081</v>
      </c>
    </row>
    <row r="440" spans="1:11" s="510" customFormat="1" ht="74.25" hidden="1" customHeight="1">
      <c r="A440" s="1020" t="s">
        <v>246</v>
      </c>
      <c r="B440" s="1022"/>
      <c r="C440" s="714" t="s">
        <v>147</v>
      </c>
      <c r="D440" s="714">
        <v>35</v>
      </c>
      <c r="E440" s="725" t="s">
        <v>1666</v>
      </c>
      <c r="F440" s="833" t="s">
        <v>2256</v>
      </c>
      <c r="G440" s="835">
        <v>8100</v>
      </c>
      <c r="H440" s="834" t="s">
        <v>2273</v>
      </c>
      <c r="I440" s="717">
        <f>K440/100*60</f>
        <v>39048.6</v>
      </c>
      <c r="J440" s="717">
        <f>K440/100*40</f>
        <v>26032.399999999998</v>
      </c>
      <c r="K440" s="717">
        <v>65081</v>
      </c>
    </row>
    <row r="441" spans="1:11" ht="75" hidden="1" customHeight="1">
      <c r="A441" s="1011" t="s">
        <v>1541</v>
      </c>
      <c r="B441" s="1013"/>
      <c r="C441" s="709"/>
      <c r="D441" s="709"/>
      <c r="E441" s="709"/>
      <c r="F441" s="708"/>
      <c r="G441" s="709"/>
      <c r="H441" s="710"/>
      <c r="I441" s="545">
        <f>SUM(I442:I451)</f>
        <v>380117.4</v>
      </c>
      <c r="J441" s="545">
        <f>SUM(J442:J451)</f>
        <v>253411.6</v>
      </c>
      <c r="K441" s="545">
        <f>I441+J441</f>
        <v>633529</v>
      </c>
    </row>
    <row r="442" spans="1:11" s="510" customFormat="1" ht="74.25" hidden="1" customHeight="1">
      <c r="A442" s="1020" t="s">
        <v>1667</v>
      </c>
      <c r="B442" s="1022"/>
      <c r="C442" s="714" t="s">
        <v>147</v>
      </c>
      <c r="D442" s="714">
        <v>160</v>
      </c>
      <c r="E442" s="725" t="s">
        <v>1684</v>
      </c>
      <c r="F442" s="829" t="s">
        <v>2229</v>
      </c>
      <c r="G442" s="1047">
        <v>8100</v>
      </c>
      <c r="H442" s="1099" t="s">
        <v>2273</v>
      </c>
      <c r="I442" s="717">
        <f t="shared" ref="I442:I451" si="13">K442/100*60</f>
        <v>42000</v>
      </c>
      <c r="J442" s="717">
        <f t="shared" ref="J442:J451" si="14">K442/100*40</f>
        <v>28000</v>
      </c>
      <c r="K442" s="717">
        <v>70000</v>
      </c>
    </row>
    <row r="443" spans="1:11" s="510" customFormat="1" ht="75" hidden="1" customHeight="1">
      <c r="A443" s="1020" t="s">
        <v>1668</v>
      </c>
      <c r="B443" s="1022"/>
      <c r="C443" s="714" t="s">
        <v>1677</v>
      </c>
      <c r="D443" s="714">
        <v>1</v>
      </c>
      <c r="E443" s="725" t="s">
        <v>1685</v>
      </c>
      <c r="F443" s="829" t="s">
        <v>2230</v>
      </c>
      <c r="G443" s="1048"/>
      <c r="H443" s="1100"/>
      <c r="I443" s="717">
        <f t="shared" si="13"/>
        <v>210000</v>
      </c>
      <c r="J443" s="717">
        <f t="shared" si="14"/>
        <v>140000</v>
      </c>
      <c r="K443" s="717">
        <v>350000</v>
      </c>
    </row>
    <row r="444" spans="1:11" s="510" customFormat="1" ht="75" hidden="1" customHeight="1">
      <c r="A444" s="1020" t="s">
        <v>1669</v>
      </c>
      <c r="B444" s="1022"/>
      <c r="C444" s="714" t="s">
        <v>1678</v>
      </c>
      <c r="D444" s="744">
        <v>2</v>
      </c>
      <c r="E444" s="725" t="s">
        <v>1686</v>
      </c>
      <c r="F444" s="1044" t="s">
        <v>2231</v>
      </c>
      <c r="G444" s="1048"/>
      <c r="H444" s="1100"/>
      <c r="I444" s="717">
        <f t="shared" si="13"/>
        <v>12000</v>
      </c>
      <c r="J444" s="717">
        <f t="shared" si="14"/>
        <v>8000</v>
      </c>
      <c r="K444" s="717">
        <v>20000</v>
      </c>
    </row>
    <row r="445" spans="1:11" s="510" customFormat="1" ht="75" hidden="1" customHeight="1">
      <c r="A445" s="1020" t="s">
        <v>1670</v>
      </c>
      <c r="B445" s="1022"/>
      <c r="C445" s="714" t="s">
        <v>1679</v>
      </c>
      <c r="D445" s="714">
        <v>12</v>
      </c>
      <c r="E445" s="725" t="s">
        <v>1687</v>
      </c>
      <c r="F445" s="1045"/>
      <c r="G445" s="1048"/>
      <c r="H445" s="1100"/>
      <c r="I445" s="717">
        <f t="shared" si="13"/>
        <v>6000</v>
      </c>
      <c r="J445" s="717">
        <f t="shared" si="14"/>
        <v>4000</v>
      </c>
      <c r="K445" s="717">
        <v>10000</v>
      </c>
    </row>
    <row r="446" spans="1:11" s="510" customFormat="1" ht="75" hidden="1" customHeight="1">
      <c r="A446" s="1020" t="s">
        <v>1671</v>
      </c>
      <c r="B446" s="1022"/>
      <c r="C446" s="714" t="s">
        <v>1680</v>
      </c>
      <c r="D446" s="714">
        <v>2</v>
      </c>
      <c r="E446" s="725" t="s">
        <v>1688</v>
      </c>
      <c r="F446" s="1045"/>
      <c r="G446" s="1048"/>
      <c r="H446" s="1100"/>
      <c r="I446" s="717">
        <f t="shared" si="13"/>
        <v>49517.399999999994</v>
      </c>
      <c r="J446" s="717">
        <f t="shared" si="14"/>
        <v>33011.599999999999</v>
      </c>
      <c r="K446" s="717">
        <v>82529</v>
      </c>
    </row>
    <row r="447" spans="1:11" s="510" customFormat="1" ht="75" hidden="1" customHeight="1">
      <c r="A447" s="1020" t="s">
        <v>1672</v>
      </c>
      <c r="B447" s="1022"/>
      <c r="C447" s="714" t="s">
        <v>1681</v>
      </c>
      <c r="D447" s="714">
        <v>2</v>
      </c>
      <c r="E447" s="725" t="s">
        <v>1689</v>
      </c>
      <c r="F447" s="1045"/>
      <c r="G447" s="1048"/>
      <c r="H447" s="1100"/>
      <c r="I447" s="717">
        <f t="shared" si="13"/>
        <v>30000</v>
      </c>
      <c r="J447" s="717">
        <f t="shared" si="14"/>
        <v>20000</v>
      </c>
      <c r="K447" s="717">
        <v>50000</v>
      </c>
    </row>
    <row r="448" spans="1:11" s="510" customFormat="1" ht="75" hidden="1" customHeight="1">
      <c r="A448" s="1020" t="s">
        <v>1673</v>
      </c>
      <c r="B448" s="1022"/>
      <c r="C448" s="714" t="s">
        <v>1681</v>
      </c>
      <c r="D448" s="714">
        <v>2</v>
      </c>
      <c r="E448" s="725" t="s">
        <v>1690</v>
      </c>
      <c r="F448" s="1045"/>
      <c r="G448" s="1048"/>
      <c r="H448" s="1100"/>
      <c r="I448" s="717">
        <f t="shared" si="13"/>
        <v>18000</v>
      </c>
      <c r="J448" s="717">
        <f t="shared" si="14"/>
        <v>12000</v>
      </c>
      <c r="K448" s="717">
        <v>30000</v>
      </c>
    </row>
    <row r="449" spans="1:11" s="510" customFormat="1" ht="75" hidden="1" customHeight="1">
      <c r="A449" s="1020" t="s">
        <v>1674</v>
      </c>
      <c r="B449" s="1022"/>
      <c r="C449" s="714" t="s">
        <v>1682</v>
      </c>
      <c r="D449" s="714">
        <v>2</v>
      </c>
      <c r="E449" s="725" t="s">
        <v>1691</v>
      </c>
      <c r="F449" s="1045"/>
      <c r="G449" s="1048"/>
      <c r="H449" s="1100"/>
      <c r="I449" s="717">
        <f t="shared" si="13"/>
        <v>6000</v>
      </c>
      <c r="J449" s="717">
        <f t="shared" si="14"/>
        <v>4000</v>
      </c>
      <c r="K449" s="717">
        <v>10000</v>
      </c>
    </row>
    <row r="450" spans="1:11" s="510" customFormat="1" ht="75" hidden="1" customHeight="1">
      <c r="A450" s="1020" t="s">
        <v>1675</v>
      </c>
      <c r="B450" s="1022"/>
      <c r="C450" s="714" t="s">
        <v>1683</v>
      </c>
      <c r="D450" s="714">
        <v>1</v>
      </c>
      <c r="E450" s="725" t="s">
        <v>1692</v>
      </c>
      <c r="F450" s="1045"/>
      <c r="G450" s="1048"/>
      <c r="H450" s="1100"/>
      <c r="I450" s="717">
        <f t="shared" si="13"/>
        <v>4200</v>
      </c>
      <c r="J450" s="717">
        <f t="shared" si="14"/>
        <v>2800</v>
      </c>
      <c r="K450" s="717">
        <v>7000</v>
      </c>
    </row>
    <row r="451" spans="1:11" s="510" customFormat="1" ht="75" hidden="1" customHeight="1">
      <c r="A451" s="1020" t="s">
        <v>1676</v>
      </c>
      <c r="B451" s="1022"/>
      <c r="C451" s="714" t="s">
        <v>1682</v>
      </c>
      <c r="D451" s="744">
        <v>2</v>
      </c>
      <c r="E451" s="725" t="s">
        <v>1692</v>
      </c>
      <c r="F451" s="1046"/>
      <c r="G451" s="1049"/>
      <c r="H451" s="1101"/>
      <c r="I451" s="717">
        <f t="shared" si="13"/>
        <v>2400</v>
      </c>
      <c r="J451" s="717">
        <f t="shared" si="14"/>
        <v>1600</v>
      </c>
      <c r="K451" s="717">
        <v>4000</v>
      </c>
    </row>
    <row r="452" spans="1:11" ht="74.25" hidden="1" customHeight="1">
      <c r="A452" s="1011" t="s">
        <v>278</v>
      </c>
      <c r="B452" s="1013"/>
      <c r="C452" s="504"/>
      <c r="D452" s="709"/>
      <c r="E452" s="709"/>
      <c r="F452" s="708"/>
      <c r="G452" s="709"/>
      <c r="H452" s="710"/>
      <c r="I452" s="545">
        <f>SUM(I453)</f>
        <v>9000</v>
      </c>
      <c r="J452" s="545">
        <f>SUM(J453)</f>
        <v>6000</v>
      </c>
      <c r="K452" s="545">
        <f>I452+J452</f>
        <v>15000</v>
      </c>
    </row>
    <row r="453" spans="1:11" s="510" customFormat="1" ht="74.25" hidden="1" customHeight="1">
      <c r="A453" s="1020" t="s">
        <v>1595</v>
      </c>
      <c r="B453" s="1022"/>
      <c r="C453" s="714" t="s">
        <v>18</v>
      </c>
      <c r="D453" s="714">
        <v>30</v>
      </c>
      <c r="E453" s="725" t="s">
        <v>1693</v>
      </c>
      <c r="F453" s="833" t="s">
        <v>2234</v>
      </c>
      <c r="G453" s="835">
        <v>8100</v>
      </c>
      <c r="H453" s="834" t="s">
        <v>2445</v>
      </c>
      <c r="I453" s="717">
        <f>K453/100*60</f>
        <v>9000</v>
      </c>
      <c r="J453" s="717">
        <f>K453/100*40</f>
        <v>6000</v>
      </c>
      <c r="K453" s="717">
        <v>15000</v>
      </c>
    </row>
    <row r="454" spans="1:11" ht="73.5" hidden="1" customHeight="1">
      <c r="A454" s="1011" t="s">
        <v>312</v>
      </c>
      <c r="B454" s="1013"/>
      <c r="C454" s="709"/>
      <c r="D454" s="709"/>
      <c r="E454" s="709"/>
      <c r="F454" s="708"/>
      <c r="G454" s="709"/>
      <c r="H454" s="710"/>
      <c r="I454" s="545">
        <f>SUM(I455:I458)</f>
        <v>30790.2</v>
      </c>
      <c r="J454" s="545">
        <f>SUM(J455:J458)</f>
        <v>20526.8</v>
      </c>
      <c r="K454" s="545">
        <f>I454+J454</f>
        <v>51317</v>
      </c>
    </row>
    <row r="455" spans="1:11" s="510" customFormat="1" ht="74.25" hidden="1" customHeight="1">
      <c r="A455" s="1020" t="s">
        <v>1694</v>
      </c>
      <c r="B455" s="1022"/>
      <c r="C455" s="714" t="s">
        <v>1698</v>
      </c>
      <c r="D455" s="714">
        <v>2</v>
      </c>
      <c r="E455" s="725" t="s">
        <v>1692</v>
      </c>
      <c r="F455" s="1044" t="s">
        <v>2224</v>
      </c>
      <c r="G455" s="1047">
        <v>8100</v>
      </c>
      <c r="H455" s="1099" t="s">
        <v>2273</v>
      </c>
      <c r="I455" s="717">
        <f>K455/100*60</f>
        <v>6000</v>
      </c>
      <c r="J455" s="717">
        <f>K455/100*40</f>
        <v>4000</v>
      </c>
      <c r="K455" s="717">
        <v>10000</v>
      </c>
    </row>
    <row r="456" spans="1:11" s="510" customFormat="1" ht="74.25" hidden="1" customHeight="1">
      <c r="A456" s="1020" t="s">
        <v>1695</v>
      </c>
      <c r="B456" s="1022"/>
      <c r="C456" s="714" t="s">
        <v>1699</v>
      </c>
      <c r="D456" s="714">
        <v>2</v>
      </c>
      <c r="E456" s="725" t="s">
        <v>1701</v>
      </c>
      <c r="F456" s="1045"/>
      <c r="G456" s="1048"/>
      <c r="H456" s="1100"/>
      <c r="I456" s="717">
        <f>K456/100*60</f>
        <v>6600</v>
      </c>
      <c r="J456" s="717">
        <f>K456/100*40</f>
        <v>4400</v>
      </c>
      <c r="K456" s="717">
        <v>11000</v>
      </c>
    </row>
    <row r="457" spans="1:11" s="510" customFormat="1" ht="74.25" hidden="1" customHeight="1">
      <c r="A457" s="1020" t="s">
        <v>1696</v>
      </c>
      <c r="B457" s="1022"/>
      <c r="C457" s="714" t="s">
        <v>1700</v>
      </c>
      <c r="D457" s="714">
        <v>2</v>
      </c>
      <c r="E457" s="725" t="s">
        <v>1702</v>
      </c>
      <c r="F457" s="1045"/>
      <c r="G457" s="1048"/>
      <c r="H457" s="1100"/>
      <c r="I457" s="717">
        <f>K457/100*60</f>
        <v>12000</v>
      </c>
      <c r="J457" s="717">
        <f>K457/100*40</f>
        <v>8000</v>
      </c>
      <c r="K457" s="717">
        <v>20000</v>
      </c>
    </row>
    <row r="458" spans="1:11" s="510" customFormat="1" ht="74.25" hidden="1" customHeight="1">
      <c r="A458" s="1020" t="s">
        <v>1697</v>
      </c>
      <c r="B458" s="1022"/>
      <c r="C458" s="714" t="s">
        <v>1698</v>
      </c>
      <c r="D458" s="714">
        <v>2</v>
      </c>
      <c r="E458" s="725" t="s">
        <v>1703</v>
      </c>
      <c r="F458" s="1046"/>
      <c r="G458" s="1049"/>
      <c r="H458" s="1101"/>
      <c r="I458" s="717">
        <f>K458/100*60</f>
        <v>6190.2</v>
      </c>
      <c r="J458" s="717">
        <f>K458/100*40</f>
        <v>4126.8</v>
      </c>
      <c r="K458" s="717">
        <v>10317</v>
      </c>
    </row>
    <row r="459" spans="1:11" s="510" customFormat="1" ht="74.25" hidden="1" customHeight="1">
      <c r="A459" s="753"/>
      <c r="B459" s="753"/>
      <c r="C459" s="754"/>
      <c r="D459" s="754"/>
      <c r="E459" s="759"/>
      <c r="F459" s="755"/>
      <c r="G459" s="758"/>
      <c r="H459" s="756"/>
      <c r="I459" s="757"/>
      <c r="J459" s="757"/>
      <c r="K459" s="757"/>
    </row>
    <row r="460" spans="1:11" s="510" customFormat="1" ht="74.25" hidden="1" customHeight="1">
      <c r="A460" s="753"/>
      <c r="B460" s="753"/>
      <c r="C460" s="754"/>
      <c r="D460" s="754"/>
      <c r="E460" s="759"/>
      <c r="F460" s="755"/>
      <c r="G460" s="758"/>
      <c r="H460" s="756"/>
      <c r="I460" s="757"/>
      <c r="J460" s="757"/>
      <c r="K460" s="757"/>
    </row>
    <row r="461" spans="1:11" s="510" customFormat="1" ht="74.25" hidden="1" customHeight="1">
      <c r="A461" s="753"/>
      <c r="B461" s="753"/>
      <c r="C461" s="754"/>
      <c r="D461" s="754"/>
      <c r="E461" s="759"/>
      <c r="F461" s="755"/>
      <c r="G461" s="758"/>
      <c r="H461" s="756"/>
      <c r="I461" s="757"/>
      <c r="J461" s="757"/>
      <c r="K461" s="757"/>
    </row>
    <row r="462" spans="1:11" s="510" customFormat="1" ht="74.25" hidden="1" customHeight="1">
      <c r="A462" s="753"/>
      <c r="B462" s="753"/>
      <c r="C462" s="754"/>
      <c r="D462" s="754"/>
      <c r="E462" s="759"/>
      <c r="F462" s="755"/>
      <c r="G462" s="758"/>
      <c r="H462" s="756"/>
      <c r="I462" s="757"/>
      <c r="J462" s="757"/>
      <c r="K462" s="757"/>
    </row>
    <row r="463" spans="1:11" s="510" customFormat="1" ht="74.25" hidden="1" customHeight="1">
      <c r="A463" s="753"/>
      <c r="B463" s="753"/>
      <c r="C463" s="754"/>
      <c r="D463" s="754"/>
      <c r="E463" s="759"/>
      <c r="F463" s="755"/>
      <c r="G463" s="758"/>
      <c r="H463" s="756"/>
      <c r="I463" s="757"/>
      <c r="J463" s="757"/>
      <c r="K463" s="757"/>
    </row>
    <row r="464" spans="1:11" s="510" customFormat="1" ht="74.25" hidden="1" customHeight="1">
      <c r="A464" s="753"/>
      <c r="B464" s="753"/>
      <c r="C464" s="754"/>
      <c r="D464" s="754"/>
      <c r="E464" s="759"/>
      <c r="F464" s="755"/>
      <c r="G464" s="758"/>
      <c r="H464" s="756"/>
      <c r="I464" s="757"/>
      <c r="J464" s="757"/>
      <c r="K464" s="757"/>
    </row>
    <row r="465" spans="1:11" s="510" customFormat="1" ht="74.25" hidden="1" customHeight="1">
      <c r="A465" s="753"/>
      <c r="B465" s="753"/>
      <c r="C465" s="754"/>
      <c r="D465" s="754"/>
      <c r="E465" s="759"/>
      <c r="F465" s="755"/>
      <c r="G465" s="758"/>
      <c r="H465" s="756"/>
      <c r="I465" s="757"/>
      <c r="J465" s="757"/>
      <c r="K465" s="757"/>
    </row>
    <row r="466" spans="1:11" s="510" customFormat="1" ht="74.25" hidden="1" customHeight="1">
      <c r="A466" s="753"/>
      <c r="B466" s="753"/>
      <c r="C466" s="754"/>
      <c r="D466" s="754"/>
      <c r="E466" s="759"/>
      <c r="F466" s="755"/>
      <c r="G466" s="758"/>
      <c r="H466" s="756"/>
      <c r="I466" s="757"/>
      <c r="J466" s="757"/>
      <c r="K466" s="757"/>
    </row>
    <row r="467" spans="1:11" s="510" customFormat="1" ht="74.25" hidden="1" customHeight="1">
      <c r="A467" s="753"/>
      <c r="B467" s="753"/>
      <c r="C467" s="754"/>
      <c r="D467" s="754"/>
      <c r="E467" s="759"/>
      <c r="F467" s="755"/>
      <c r="G467" s="758"/>
      <c r="H467" s="756"/>
      <c r="I467" s="757"/>
      <c r="J467" s="757"/>
      <c r="K467" s="757"/>
    </row>
    <row r="468" spans="1:11" s="510" customFormat="1" ht="74.25" hidden="1" customHeight="1">
      <c r="A468" s="753"/>
      <c r="B468" s="753"/>
      <c r="C468" s="754"/>
      <c r="D468" s="754"/>
      <c r="E468" s="759"/>
      <c r="F468" s="755"/>
      <c r="G468" s="758"/>
      <c r="H468" s="756"/>
      <c r="I468" s="757"/>
      <c r="J468" s="757"/>
      <c r="K468" s="757"/>
    </row>
    <row r="469" spans="1:11" s="510" customFormat="1" ht="74.25" hidden="1" customHeight="1">
      <c r="A469" s="753"/>
      <c r="B469" s="753"/>
      <c r="C469" s="754"/>
      <c r="D469" s="754"/>
      <c r="E469" s="759"/>
      <c r="F469" s="755"/>
      <c r="G469" s="758"/>
      <c r="H469" s="756"/>
      <c r="I469" s="757"/>
      <c r="J469" s="757"/>
      <c r="K469" s="757"/>
    </row>
    <row r="470" spans="1:11" ht="34.5" hidden="1" customHeight="1">
      <c r="A470" s="1128" t="s">
        <v>51</v>
      </c>
      <c r="B470" s="1128"/>
      <c r="C470" s="1128"/>
      <c r="D470" s="1128"/>
      <c r="E470" s="1128"/>
      <c r="F470" s="1128"/>
      <c r="G470" s="1128"/>
      <c r="H470" s="1128"/>
      <c r="I470" s="1128"/>
      <c r="J470" s="1128"/>
      <c r="K470" s="1128"/>
    </row>
    <row r="471" spans="1:11" ht="30.75" hidden="1" customHeight="1">
      <c r="A471" s="1128" t="s">
        <v>52</v>
      </c>
      <c r="B471" s="1128"/>
      <c r="C471" s="1128"/>
      <c r="D471" s="1128"/>
      <c r="E471" s="1128"/>
      <c r="F471" s="1128"/>
      <c r="G471" s="1128"/>
      <c r="H471" s="1128"/>
      <c r="I471" s="1128"/>
      <c r="J471" s="1128"/>
      <c r="K471" s="1128"/>
    </row>
    <row r="472" spans="1:11" ht="33" hidden="1" customHeight="1">
      <c r="A472" s="1132" t="s">
        <v>50</v>
      </c>
      <c r="B472" s="1132"/>
      <c r="C472" s="1132"/>
      <c r="D472" s="1132"/>
      <c r="E472" s="1132"/>
      <c r="F472" s="1132"/>
      <c r="G472" s="1132"/>
      <c r="H472" s="1132"/>
      <c r="I472" s="1132"/>
      <c r="J472" s="1132"/>
      <c r="K472" s="1132"/>
    </row>
    <row r="473" spans="1:11" ht="33" hidden="1" customHeight="1">
      <c r="A473" s="154"/>
      <c r="B473" s="154"/>
      <c r="C473" s="154"/>
      <c r="D473" s="154"/>
      <c r="E473" s="154"/>
      <c r="F473" s="154"/>
      <c r="G473" s="707"/>
      <c r="H473" s="707"/>
      <c r="I473" s="707"/>
      <c r="J473" s="707"/>
      <c r="K473" s="707"/>
    </row>
    <row r="474" spans="1:11" ht="35.25" hidden="1">
      <c r="A474" s="1128" t="s">
        <v>1489</v>
      </c>
      <c r="B474" s="1128"/>
      <c r="C474" s="1128"/>
      <c r="D474" s="1128"/>
      <c r="E474" s="1128"/>
      <c r="F474" s="1128"/>
      <c r="G474" s="1128"/>
      <c r="H474" s="1128"/>
      <c r="I474" s="1128"/>
      <c r="J474" s="1128"/>
      <c r="K474" s="1128"/>
    </row>
    <row r="475" spans="1:11" s="620" customFormat="1" ht="33" hidden="1">
      <c r="A475" s="65"/>
      <c r="B475" s="65"/>
      <c r="C475" s="65"/>
      <c r="D475" s="65"/>
      <c r="E475" s="65"/>
      <c r="F475" s="65"/>
      <c r="G475" s="68"/>
      <c r="H475" s="68"/>
      <c r="I475" s="68"/>
      <c r="J475" s="68"/>
      <c r="K475" s="68"/>
    </row>
    <row r="476" spans="1:11" ht="20.100000000000001" hidden="1" customHeight="1">
      <c r="A476" s="65"/>
      <c r="B476" s="65"/>
      <c r="C476" s="65"/>
      <c r="D476" s="65"/>
      <c r="E476" s="65"/>
      <c r="F476" s="65"/>
      <c r="G476" s="68"/>
      <c r="H476" s="68"/>
      <c r="I476" s="68"/>
      <c r="J476" s="68"/>
      <c r="K476" s="68"/>
    </row>
    <row r="477" spans="1:11" ht="20.100000000000001" hidden="1" customHeight="1">
      <c r="A477" s="979"/>
      <c r="B477" s="979"/>
      <c r="C477" s="979"/>
      <c r="D477" s="979"/>
      <c r="E477" s="979"/>
      <c r="F477" s="979"/>
      <c r="G477" s="979"/>
      <c r="H477" s="979"/>
      <c r="I477" s="979"/>
      <c r="J477" s="979"/>
      <c r="K477" s="979"/>
    </row>
    <row r="478" spans="1:11" ht="45.75" hidden="1" customHeight="1">
      <c r="A478" s="1030" t="s">
        <v>1381</v>
      </c>
      <c r="B478" s="1030"/>
      <c r="C478" s="1030"/>
      <c r="D478" s="1030"/>
      <c r="E478" s="1030"/>
      <c r="F478" s="1030"/>
      <c r="G478" s="1030"/>
      <c r="H478" s="1030"/>
      <c r="I478" s="1030"/>
      <c r="J478" s="1030"/>
      <c r="K478" s="1030"/>
    </row>
    <row r="479" spans="1:11" ht="66" hidden="1" customHeight="1">
      <c r="A479" s="1039" t="s">
        <v>37</v>
      </c>
      <c r="B479" s="1039"/>
      <c r="C479" s="1039" t="s">
        <v>178</v>
      </c>
      <c r="D479" s="1039" t="s">
        <v>179</v>
      </c>
      <c r="E479" s="1039" t="s">
        <v>1521</v>
      </c>
      <c r="F479" s="1039" t="s">
        <v>14</v>
      </c>
      <c r="G479" s="1039" t="s">
        <v>1515</v>
      </c>
      <c r="H479" s="1039" t="s">
        <v>16</v>
      </c>
      <c r="I479" s="1039" t="s">
        <v>1490</v>
      </c>
      <c r="J479" s="1039" t="s">
        <v>2203</v>
      </c>
      <c r="K479" s="1039" t="s">
        <v>200</v>
      </c>
    </row>
    <row r="480" spans="1:11" s="500" customFormat="1" ht="30" hidden="1">
      <c r="A480" s="1039"/>
      <c r="B480" s="1039"/>
      <c r="C480" s="1039"/>
      <c r="D480" s="1039"/>
      <c r="E480" s="1039"/>
      <c r="F480" s="1039"/>
      <c r="G480" s="1039"/>
      <c r="H480" s="1039"/>
      <c r="I480" s="1039"/>
      <c r="J480" s="1039"/>
      <c r="K480" s="1039"/>
    </row>
    <row r="481" spans="1:11" s="500" customFormat="1" ht="74.25" hidden="1" customHeight="1">
      <c r="A481" s="1102" t="s">
        <v>1618</v>
      </c>
      <c r="B481" s="1103"/>
      <c r="C481" s="729"/>
      <c r="D481" s="729"/>
      <c r="E481" s="726"/>
      <c r="F481" s="727"/>
      <c r="G481" s="728"/>
      <c r="H481" s="728"/>
      <c r="I481" s="642">
        <f>I482+I488+I490</f>
        <v>217060.8</v>
      </c>
      <c r="J481" s="642">
        <f>J482+J488+J490</f>
        <v>144707.20000000001</v>
      </c>
      <c r="K481" s="642">
        <f>I481+J481</f>
        <v>361768</v>
      </c>
    </row>
    <row r="482" spans="1:11" ht="75" hidden="1" customHeight="1">
      <c r="A482" s="1011" t="s">
        <v>1541</v>
      </c>
      <c r="B482" s="1013"/>
      <c r="C482" s="709"/>
      <c r="D482" s="709"/>
      <c r="E482" s="709"/>
      <c r="F482" s="708"/>
      <c r="G482" s="709"/>
      <c r="H482" s="710"/>
      <c r="I482" s="545">
        <f>SUM(I483:I487)</f>
        <v>210460.79999999999</v>
      </c>
      <c r="J482" s="545">
        <f>SUM(J483:J487)</f>
        <v>140307.20000000001</v>
      </c>
      <c r="K482" s="545">
        <f>I482+J482</f>
        <v>350768</v>
      </c>
    </row>
    <row r="483" spans="1:11" s="510" customFormat="1" ht="74.25" hidden="1" customHeight="1">
      <c r="A483" s="1020" t="s">
        <v>1629</v>
      </c>
      <c r="B483" s="1022"/>
      <c r="C483" s="714" t="s">
        <v>1619</v>
      </c>
      <c r="D483" s="714">
        <v>40</v>
      </c>
      <c r="E483" s="725" t="s">
        <v>1620</v>
      </c>
      <c r="F483" s="833" t="s">
        <v>2229</v>
      </c>
      <c r="G483" s="1047">
        <v>8100</v>
      </c>
      <c r="H483" s="1099" t="s">
        <v>2273</v>
      </c>
      <c r="I483" s="717">
        <f>K483/100*60</f>
        <v>93133.2</v>
      </c>
      <c r="J483" s="717">
        <f>K483/100*40</f>
        <v>62088.800000000003</v>
      </c>
      <c r="K483" s="717">
        <v>155222</v>
      </c>
    </row>
    <row r="484" spans="1:11" s="510" customFormat="1" ht="75" hidden="1" customHeight="1">
      <c r="A484" s="1020" t="s">
        <v>1630</v>
      </c>
      <c r="B484" s="1022"/>
      <c r="C484" s="714" t="s">
        <v>1621</v>
      </c>
      <c r="D484" s="714">
        <v>9</v>
      </c>
      <c r="E484" s="725" t="s">
        <v>1622</v>
      </c>
      <c r="F484" s="830" t="s">
        <v>2236</v>
      </c>
      <c r="G484" s="1048"/>
      <c r="H484" s="1100"/>
      <c r="I484" s="717">
        <f>K484/100*60</f>
        <v>24998.399999999998</v>
      </c>
      <c r="J484" s="717">
        <f>K484/100*40</f>
        <v>16665.599999999999</v>
      </c>
      <c r="K484" s="717">
        <v>41664</v>
      </c>
    </row>
    <row r="485" spans="1:11" s="510" customFormat="1" ht="75" hidden="1" customHeight="1">
      <c r="A485" s="1020" t="s">
        <v>1606</v>
      </c>
      <c r="B485" s="1022"/>
      <c r="C485" s="714" t="s">
        <v>1623</v>
      </c>
      <c r="D485" s="714">
        <v>40</v>
      </c>
      <c r="E485" s="725" t="s">
        <v>1624</v>
      </c>
      <c r="F485" s="829" t="s">
        <v>2230</v>
      </c>
      <c r="G485" s="1048"/>
      <c r="H485" s="1100"/>
      <c r="I485" s="717">
        <f>K485/100*60</f>
        <v>36000</v>
      </c>
      <c r="J485" s="717">
        <f>K485/100*40</f>
        <v>24000</v>
      </c>
      <c r="K485" s="717">
        <v>60000</v>
      </c>
    </row>
    <row r="486" spans="1:11" s="510" customFormat="1" ht="75" hidden="1" customHeight="1">
      <c r="A486" s="1020" t="s">
        <v>1631</v>
      </c>
      <c r="B486" s="1022"/>
      <c r="C486" s="714" t="s">
        <v>245</v>
      </c>
      <c r="D486" s="714">
        <v>4</v>
      </c>
      <c r="E486" s="725" t="s">
        <v>1625</v>
      </c>
      <c r="F486" s="1044" t="s">
        <v>2231</v>
      </c>
      <c r="G486" s="1048"/>
      <c r="H486" s="1100"/>
      <c r="I486" s="717">
        <f>K486/100*60</f>
        <v>35329.200000000004</v>
      </c>
      <c r="J486" s="717">
        <f>K486/100*40</f>
        <v>23552.800000000003</v>
      </c>
      <c r="K486" s="717">
        <v>58882</v>
      </c>
    </row>
    <row r="487" spans="1:11" s="510" customFormat="1" ht="75" hidden="1" customHeight="1">
      <c r="A487" s="1020" t="s">
        <v>1632</v>
      </c>
      <c r="B487" s="1022"/>
      <c r="C487" s="714" t="s">
        <v>216</v>
      </c>
      <c r="D487" s="714">
        <v>100</v>
      </c>
      <c r="E487" s="725" t="s">
        <v>1625</v>
      </c>
      <c r="F487" s="1046"/>
      <c r="G487" s="1049"/>
      <c r="H487" s="1101"/>
      <c r="I487" s="717">
        <f>K487/100*60</f>
        <v>21000</v>
      </c>
      <c r="J487" s="717">
        <f>K487/100*40</f>
        <v>14000</v>
      </c>
      <c r="K487" s="717">
        <v>35000</v>
      </c>
    </row>
    <row r="488" spans="1:11" ht="74.25" hidden="1" customHeight="1">
      <c r="A488" s="1011" t="s">
        <v>278</v>
      </c>
      <c r="B488" s="1013"/>
      <c r="C488" s="504"/>
      <c r="D488" s="709"/>
      <c r="E488" s="709"/>
      <c r="F488" s="708"/>
      <c r="G488" s="709"/>
      <c r="H488" s="710"/>
      <c r="I488" s="545">
        <f>SUM(I489)</f>
        <v>3600</v>
      </c>
      <c r="J488" s="545">
        <f>SUM(J489)</f>
        <v>2400</v>
      </c>
      <c r="K488" s="545">
        <f>I488+J488</f>
        <v>6000</v>
      </c>
    </row>
    <row r="489" spans="1:11" s="510" customFormat="1" ht="74.25" hidden="1" customHeight="1">
      <c r="A489" s="1020" t="s">
        <v>1627</v>
      </c>
      <c r="B489" s="1022"/>
      <c r="C489" s="714" t="s">
        <v>1215</v>
      </c>
      <c r="D489" s="714">
        <v>10</v>
      </c>
      <c r="E489" s="725" t="s">
        <v>1626</v>
      </c>
      <c r="F489" s="833" t="s">
        <v>2234</v>
      </c>
      <c r="G489" s="835">
        <v>8100</v>
      </c>
      <c r="H489" s="834" t="s">
        <v>2445</v>
      </c>
      <c r="I489" s="717">
        <f>K489/100*60</f>
        <v>3600</v>
      </c>
      <c r="J489" s="717">
        <f>K489/100*40</f>
        <v>2400</v>
      </c>
      <c r="K489" s="717">
        <v>6000</v>
      </c>
    </row>
    <row r="490" spans="1:11" ht="73.5" hidden="1" customHeight="1">
      <c r="A490" s="1011" t="s">
        <v>312</v>
      </c>
      <c r="B490" s="1013"/>
      <c r="C490" s="709"/>
      <c r="D490" s="709"/>
      <c r="E490" s="709"/>
      <c r="F490" s="708"/>
      <c r="G490" s="709"/>
      <c r="H490" s="710"/>
      <c r="I490" s="545">
        <f>SUM(I491:I491)</f>
        <v>3000</v>
      </c>
      <c r="J490" s="545">
        <f>SUM(J491:J491)</f>
        <v>2000</v>
      </c>
      <c r="K490" s="545">
        <f>SUM(K491:K491)</f>
        <v>5000</v>
      </c>
    </row>
    <row r="491" spans="1:11" s="510" customFormat="1" ht="74.25" hidden="1" customHeight="1">
      <c r="A491" s="1020" t="s">
        <v>1555</v>
      </c>
      <c r="B491" s="1022"/>
      <c r="C491" s="714" t="s">
        <v>1623</v>
      </c>
      <c r="D491" s="714">
        <v>20</v>
      </c>
      <c r="E491" s="725" t="s">
        <v>1628</v>
      </c>
      <c r="F491" s="833" t="s">
        <v>2224</v>
      </c>
      <c r="G491" s="827">
        <v>8100</v>
      </c>
      <c r="H491" s="828" t="s">
        <v>2273</v>
      </c>
      <c r="I491" s="717">
        <f>K491/100*60</f>
        <v>3000</v>
      </c>
      <c r="J491" s="717">
        <f>K491/100*40</f>
        <v>2000</v>
      </c>
      <c r="K491" s="717">
        <v>5000</v>
      </c>
    </row>
    <row r="492" spans="1:11" s="743" customFormat="1" ht="36.75" hidden="1" customHeight="1">
      <c r="A492" s="1135"/>
      <c r="B492" s="1136"/>
      <c r="C492" s="738"/>
      <c r="D492" s="738"/>
      <c r="E492" s="739"/>
      <c r="F492" s="740"/>
      <c r="G492" s="741"/>
      <c r="H492" s="741"/>
      <c r="I492" s="742"/>
      <c r="J492" s="742"/>
      <c r="K492" s="742"/>
    </row>
    <row r="493" spans="1:11" ht="66" hidden="1" customHeight="1">
      <c r="A493" s="1031" t="s">
        <v>37</v>
      </c>
      <c r="B493" s="1033"/>
      <c r="C493" s="1037" t="s">
        <v>178</v>
      </c>
      <c r="D493" s="1037" t="s">
        <v>179</v>
      </c>
      <c r="E493" s="1037" t="s">
        <v>1521</v>
      </c>
      <c r="F493" s="1037" t="s">
        <v>14</v>
      </c>
      <c r="G493" s="1037" t="s">
        <v>1515</v>
      </c>
      <c r="H493" s="1037" t="s">
        <v>16</v>
      </c>
      <c r="I493" s="1039" t="s">
        <v>1490</v>
      </c>
      <c r="J493" s="1039" t="s">
        <v>2203</v>
      </c>
      <c r="K493" s="1037" t="s">
        <v>200</v>
      </c>
    </row>
    <row r="494" spans="1:11" s="500" customFormat="1" ht="30" hidden="1">
      <c r="A494" s="1034"/>
      <c r="B494" s="1036"/>
      <c r="C494" s="1038"/>
      <c r="D494" s="1038"/>
      <c r="E494" s="1038"/>
      <c r="F494" s="1038"/>
      <c r="G494" s="1038"/>
      <c r="H494" s="1038"/>
      <c r="I494" s="1039"/>
      <c r="J494" s="1039"/>
      <c r="K494" s="1038"/>
    </row>
    <row r="495" spans="1:11" s="500" customFormat="1" ht="74.25" hidden="1" customHeight="1">
      <c r="A495" s="1102" t="s">
        <v>1530</v>
      </c>
      <c r="B495" s="1103"/>
      <c r="C495" s="729"/>
      <c r="D495" s="729"/>
      <c r="E495" s="726"/>
      <c r="F495" s="727"/>
      <c r="G495" s="728"/>
      <c r="H495" s="728"/>
      <c r="I495" s="642">
        <f>I496+I498</f>
        <v>567863.4</v>
      </c>
      <c r="J495" s="642">
        <f>J496+J498</f>
        <v>378575.6</v>
      </c>
      <c r="K495" s="642">
        <f>I495+J495</f>
        <v>946439</v>
      </c>
    </row>
    <row r="496" spans="1:11" s="579" customFormat="1" ht="73.5" hidden="1" customHeight="1">
      <c r="A496" s="1011" t="s">
        <v>2251</v>
      </c>
      <c r="B496" s="1013"/>
      <c r="C496" s="709"/>
      <c r="D496" s="709"/>
      <c r="E496" s="709"/>
      <c r="F496" s="708"/>
      <c r="G496" s="709"/>
      <c r="H496" s="710"/>
      <c r="I496" s="545">
        <f>I497</f>
        <v>72000</v>
      </c>
      <c r="J496" s="545">
        <f>J497</f>
        <v>48000</v>
      </c>
      <c r="K496" s="545">
        <f>I496+J496</f>
        <v>120000</v>
      </c>
    </row>
    <row r="497" spans="1:11" s="510" customFormat="1" ht="74.25" hidden="1" customHeight="1">
      <c r="A497" s="1020" t="s">
        <v>1528</v>
      </c>
      <c r="B497" s="1022"/>
      <c r="C497" s="714" t="s">
        <v>147</v>
      </c>
      <c r="D497" s="714">
        <v>160</v>
      </c>
      <c r="E497" s="725" t="s">
        <v>1516</v>
      </c>
      <c r="F497" s="833" t="s">
        <v>2257</v>
      </c>
      <c r="G497" s="835">
        <v>8100</v>
      </c>
      <c r="H497" s="834" t="s">
        <v>2273</v>
      </c>
      <c r="I497" s="717">
        <f>K497/100*60</f>
        <v>72000</v>
      </c>
      <c r="J497" s="717">
        <f>K497/100*40</f>
        <v>48000</v>
      </c>
      <c r="K497" s="717">
        <v>120000</v>
      </c>
    </row>
    <row r="498" spans="1:11" ht="75" hidden="1" customHeight="1">
      <c r="A498" s="1011" t="s">
        <v>1541</v>
      </c>
      <c r="B498" s="1013"/>
      <c r="C498" s="709"/>
      <c r="D498" s="709"/>
      <c r="E498" s="709"/>
      <c r="F498" s="708"/>
      <c r="G498" s="709"/>
      <c r="H498" s="710"/>
      <c r="I498" s="545">
        <f>SUM(I499:I502)</f>
        <v>495863.4</v>
      </c>
      <c r="J498" s="545">
        <f>SUM(J499:J502)</f>
        <v>330575.59999999998</v>
      </c>
      <c r="K498" s="545">
        <f>I498+J498</f>
        <v>826439</v>
      </c>
    </row>
    <row r="499" spans="1:11" s="510" customFormat="1" ht="75" hidden="1" customHeight="1">
      <c r="A499" s="1020" t="s">
        <v>1529</v>
      </c>
      <c r="B499" s="1022"/>
      <c r="C499" s="714" t="s">
        <v>1534</v>
      </c>
      <c r="D499" s="714">
        <v>120</v>
      </c>
      <c r="E499" s="725" t="s">
        <v>1536</v>
      </c>
      <c r="F499" s="829" t="s">
        <v>2230</v>
      </c>
      <c r="G499" s="1047">
        <v>8100</v>
      </c>
      <c r="H499" s="1099" t="s">
        <v>2273</v>
      </c>
      <c r="I499" s="717">
        <f>K499/100*60</f>
        <v>180000</v>
      </c>
      <c r="J499" s="717">
        <f>K499/100*40</f>
        <v>120000</v>
      </c>
      <c r="K499" s="717">
        <v>300000</v>
      </c>
    </row>
    <row r="500" spans="1:11" s="510" customFormat="1" ht="74.25" hidden="1" customHeight="1">
      <c r="A500" s="1020" t="s">
        <v>1532</v>
      </c>
      <c r="B500" s="1022"/>
      <c r="C500" s="714" t="s">
        <v>1533</v>
      </c>
      <c r="D500" s="714">
        <v>200</v>
      </c>
      <c r="E500" s="725" t="s">
        <v>1535</v>
      </c>
      <c r="F500" s="1044" t="s">
        <v>2231</v>
      </c>
      <c r="G500" s="1048"/>
      <c r="H500" s="1100"/>
      <c r="I500" s="717">
        <f>K500/100*60</f>
        <v>267335.40000000002</v>
      </c>
      <c r="J500" s="717">
        <f>K500/100*40</f>
        <v>178223.6</v>
      </c>
      <c r="K500" s="717">
        <v>445559</v>
      </c>
    </row>
    <row r="501" spans="1:11" s="510" customFormat="1" ht="75" hidden="1" customHeight="1">
      <c r="A501" s="1020" t="s">
        <v>1531</v>
      </c>
      <c r="B501" s="1022"/>
      <c r="C501" s="714" t="s">
        <v>1533</v>
      </c>
      <c r="D501" s="714">
        <v>328</v>
      </c>
      <c r="E501" s="725" t="s">
        <v>1537</v>
      </c>
      <c r="F501" s="1045"/>
      <c r="G501" s="1048"/>
      <c r="H501" s="1100"/>
      <c r="I501" s="717">
        <f>K501/100*60</f>
        <v>30000</v>
      </c>
      <c r="J501" s="717">
        <f>K501/100*40</f>
        <v>20000</v>
      </c>
      <c r="K501" s="717">
        <v>50000</v>
      </c>
    </row>
    <row r="502" spans="1:11" s="510" customFormat="1" ht="75" hidden="1" customHeight="1">
      <c r="A502" s="1020" t="s">
        <v>1538</v>
      </c>
      <c r="B502" s="1022"/>
      <c r="C502" s="714" t="s">
        <v>1539</v>
      </c>
      <c r="D502" s="714">
        <v>38</v>
      </c>
      <c r="E502" s="725" t="s">
        <v>1540</v>
      </c>
      <c r="F502" s="1046"/>
      <c r="G502" s="1049"/>
      <c r="H502" s="1101"/>
      <c r="I502" s="717">
        <f>K502/100*60</f>
        <v>18528</v>
      </c>
      <c r="J502" s="717">
        <f>K502/100*40</f>
        <v>12352</v>
      </c>
      <c r="K502" s="717">
        <v>30880</v>
      </c>
    </row>
    <row r="503" spans="1:11" s="510" customFormat="1" ht="75" hidden="1" customHeight="1">
      <c r="A503" s="753"/>
      <c r="B503" s="753"/>
      <c r="C503" s="754"/>
      <c r="D503" s="754"/>
      <c r="E503" s="759"/>
      <c r="F503" s="755"/>
      <c r="G503" s="758"/>
      <c r="H503" s="756"/>
      <c r="I503" s="757"/>
      <c r="J503" s="757"/>
      <c r="K503" s="757"/>
    </row>
    <row r="504" spans="1:11" s="510" customFormat="1" ht="75" hidden="1" customHeight="1">
      <c r="A504" s="753"/>
      <c r="B504" s="753"/>
      <c r="C504" s="754"/>
      <c r="D504" s="754"/>
      <c r="E504" s="759"/>
      <c r="F504" s="755"/>
      <c r="G504" s="758"/>
      <c r="H504" s="756"/>
      <c r="I504" s="757"/>
      <c r="J504" s="757"/>
      <c r="K504" s="757"/>
    </row>
    <row r="505" spans="1:11" ht="34.5" hidden="1" customHeight="1">
      <c r="A505" s="1128" t="s">
        <v>51</v>
      </c>
      <c r="B505" s="1128"/>
      <c r="C505" s="1128"/>
      <c r="D505" s="1128"/>
      <c r="E505" s="1128"/>
      <c r="F505" s="1128"/>
      <c r="G505" s="1128"/>
      <c r="H505" s="1128"/>
      <c r="I505" s="1128"/>
      <c r="J505" s="1128"/>
      <c r="K505" s="1128"/>
    </row>
    <row r="506" spans="1:11" ht="30.75" hidden="1" customHeight="1">
      <c r="A506" s="1128" t="s">
        <v>52</v>
      </c>
      <c r="B506" s="1128"/>
      <c r="C506" s="1128"/>
      <c r="D506" s="1128"/>
      <c r="E506" s="1128"/>
      <c r="F506" s="1128"/>
      <c r="G506" s="1128"/>
      <c r="H506" s="1128"/>
      <c r="I506" s="1128"/>
      <c r="J506" s="1128"/>
      <c r="K506" s="1128"/>
    </row>
    <row r="507" spans="1:11" ht="33" hidden="1" customHeight="1">
      <c r="A507" s="1132" t="s">
        <v>50</v>
      </c>
      <c r="B507" s="1132"/>
      <c r="C507" s="1132"/>
      <c r="D507" s="1132"/>
      <c r="E507" s="1132"/>
      <c r="F507" s="1132"/>
      <c r="G507" s="1132"/>
      <c r="H507" s="1132"/>
      <c r="I507" s="1132"/>
      <c r="J507" s="1132"/>
      <c r="K507" s="1132"/>
    </row>
    <row r="508" spans="1:11" ht="33" hidden="1" customHeight="1">
      <c r="A508" s="154"/>
      <c r="B508" s="154"/>
      <c r="C508" s="154"/>
      <c r="D508" s="154"/>
      <c r="E508" s="154"/>
      <c r="F508" s="154"/>
      <c r="G508" s="707"/>
      <c r="H508" s="707"/>
      <c r="I508" s="707"/>
      <c r="J508" s="707"/>
      <c r="K508" s="707"/>
    </row>
    <row r="509" spans="1:11" ht="35.25" hidden="1">
      <c r="A509" s="1128" t="s">
        <v>1336</v>
      </c>
      <c r="B509" s="1128"/>
      <c r="C509" s="1128"/>
      <c r="D509" s="1128"/>
      <c r="E509" s="1128"/>
      <c r="F509" s="1128"/>
      <c r="G509" s="1128"/>
      <c r="H509" s="1128"/>
      <c r="I509" s="1128"/>
      <c r="J509" s="1128"/>
      <c r="K509" s="1128"/>
    </row>
    <row r="510" spans="1:11" s="620" customFormat="1" ht="33" hidden="1">
      <c r="A510" s="65"/>
      <c r="B510" s="65"/>
      <c r="C510" s="65"/>
      <c r="D510" s="65"/>
      <c r="E510" s="65"/>
      <c r="F510" s="65"/>
      <c r="G510" s="68"/>
      <c r="H510" s="68"/>
      <c r="I510" s="68"/>
      <c r="J510" s="68"/>
      <c r="K510" s="68"/>
    </row>
    <row r="511" spans="1:11" ht="20.100000000000001" hidden="1" customHeight="1">
      <c r="A511" s="65"/>
      <c r="B511" s="65"/>
      <c r="C511" s="65"/>
      <c r="D511" s="65"/>
      <c r="E511" s="65"/>
      <c r="F511" s="65"/>
      <c r="G511" s="68"/>
      <c r="H511" s="68"/>
      <c r="I511" s="68"/>
      <c r="J511" s="68"/>
      <c r="K511" s="68"/>
    </row>
    <row r="512" spans="1:11" ht="20.100000000000001" hidden="1" customHeight="1">
      <c r="A512" s="979"/>
      <c r="B512" s="979"/>
      <c r="C512" s="979"/>
      <c r="D512" s="979"/>
      <c r="E512" s="979"/>
      <c r="F512" s="979"/>
      <c r="G512" s="979"/>
      <c r="H512" s="979"/>
      <c r="I512" s="979"/>
      <c r="J512" s="979"/>
      <c r="K512" s="979"/>
    </row>
    <row r="513" spans="1:11" ht="45.75" hidden="1" customHeight="1">
      <c r="A513" s="1030" t="s">
        <v>1381</v>
      </c>
      <c r="B513" s="1030"/>
      <c r="C513" s="1030"/>
      <c r="D513" s="1030"/>
      <c r="E513" s="1030"/>
      <c r="F513" s="1030"/>
      <c r="G513" s="1030"/>
      <c r="H513" s="1030"/>
      <c r="I513" s="1030"/>
      <c r="J513" s="1030"/>
      <c r="K513" s="1030"/>
    </row>
    <row r="514" spans="1:11" ht="66" hidden="1" customHeight="1">
      <c r="A514" s="1031" t="s">
        <v>37</v>
      </c>
      <c r="B514" s="1033"/>
      <c r="C514" s="1037" t="s">
        <v>178</v>
      </c>
      <c r="D514" s="1037" t="s">
        <v>179</v>
      </c>
      <c r="E514" s="1037" t="s">
        <v>1521</v>
      </c>
      <c r="F514" s="1037" t="s">
        <v>14</v>
      </c>
      <c r="G514" s="1037" t="s">
        <v>1515</v>
      </c>
      <c r="H514" s="1037" t="s">
        <v>16</v>
      </c>
      <c r="I514" s="1039" t="s">
        <v>1490</v>
      </c>
      <c r="J514" s="1039" t="s">
        <v>2203</v>
      </c>
      <c r="K514" s="1037" t="s">
        <v>200</v>
      </c>
    </row>
    <row r="515" spans="1:11" s="500" customFormat="1" ht="30" hidden="1">
      <c r="A515" s="1034"/>
      <c r="B515" s="1036"/>
      <c r="C515" s="1038"/>
      <c r="D515" s="1038"/>
      <c r="E515" s="1038"/>
      <c r="F515" s="1038"/>
      <c r="G515" s="1038"/>
      <c r="H515" s="1038"/>
      <c r="I515" s="1039"/>
      <c r="J515" s="1039"/>
      <c r="K515" s="1038"/>
    </row>
    <row r="516" spans="1:11" s="500" customFormat="1" ht="74.25" hidden="1" customHeight="1">
      <c r="A516" s="1102" t="s">
        <v>1571</v>
      </c>
      <c r="B516" s="1103"/>
      <c r="C516" s="729"/>
      <c r="D516" s="729"/>
      <c r="E516" s="726"/>
      <c r="F516" s="727"/>
      <c r="G516" s="728"/>
      <c r="H516" s="728"/>
      <c r="I516" s="642">
        <f>I517+I519+I530+I532</f>
        <v>312034.8</v>
      </c>
      <c r="J516" s="642">
        <f>J517+J519+J530+J532</f>
        <v>208023.19999999998</v>
      </c>
      <c r="K516" s="642">
        <f>I516+J516</f>
        <v>520058</v>
      </c>
    </row>
    <row r="517" spans="1:11" s="579" customFormat="1" ht="73.5" hidden="1" customHeight="1">
      <c r="A517" s="1011" t="s">
        <v>2251</v>
      </c>
      <c r="B517" s="1012"/>
      <c r="C517" s="1012"/>
      <c r="D517" s="1012"/>
      <c r="E517" s="1012"/>
      <c r="F517" s="1013"/>
      <c r="G517" s="709"/>
      <c r="H517" s="710"/>
      <c r="I517" s="545">
        <f>I518</f>
        <v>41682</v>
      </c>
      <c r="J517" s="545">
        <f>J518</f>
        <v>27788</v>
      </c>
      <c r="K517" s="545">
        <f>I517+J517</f>
        <v>69470</v>
      </c>
    </row>
    <row r="518" spans="1:11" s="510" customFormat="1" ht="74.25" hidden="1" customHeight="1">
      <c r="A518" s="1020" t="s">
        <v>1572</v>
      </c>
      <c r="B518" s="1022"/>
      <c r="C518" s="714" t="s">
        <v>147</v>
      </c>
      <c r="D518" s="714">
        <v>324</v>
      </c>
      <c r="E518" s="725" t="s">
        <v>1573</v>
      </c>
      <c r="F518" s="833" t="s">
        <v>2258</v>
      </c>
      <c r="G518" s="835">
        <v>8100</v>
      </c>
      <c r="H518" s="834" t="s">
        <v>2273</v>
      </c>
      <c r="I518" s="717">
        <f>K518/100*60</f>
        <v>41682</v>
      </c>
      <c r="J518" s="717">
        <f>K518/100*40</f>
        <v>27788</v>
      </c>
      <c r="K518" s="717">
        <v>69470</v>
      </c>
    </row>
    <row r="519" spans="1:11" ht="75" hidden="1" customHeight="1">
      <c r="A519" s="1011" t="s">
        <v>1541</v>
      </c>
      <c r="B519" s="1013"/>
      <c r="C519" s="709"/>
      <c r="D519" s="709"/>
      <c r="E519" s="709"/>
      <c r="F519" s="708"/>
      <c r="G519" s="709"/>
      <c r="H519" s="710"/>
      <c r="I519" s="545">
        <f>SUM(I520:I529)</f>
        <v>238125.59999999998</v>
      </c>
      <c r="J519" s="545">
        <f>SUM(J520:J529)</f>
        <v>158750.39999999999</v>
      </c>
      <c r="K519" s="545">
        <f>I519+J519</f>
        <v>396876</v>
      </c>
    </row>
    <row r="520" spans="1:11" s="510" customFormat="1" ht="74.25" hidden="1" customHeight="1">
      <c r="A520" s="1020" t="s">
        <v>1574</v>
      </c>
      <c r="B520" s="1022"/>
      <c r="C520" s="714" t="s">
        <v>1550</v>
      </c>
      <c r="D520" s="714">
        <v>20</v>
      </c>
      <c r="E520" s="725" t="s">
        <v>1573</v>
      </c>
      <c r="F520" s="829" t="s">
        <v>2229</v>
      </c>
      <c r="G520" s="1047">
        <v>8100</v>
      </c>
      <c r="H520" s="1099" t="s">
        <v>2273</v>
      </c>
      <c r="I520" s="717">
        <f t="shared" ref="I520:I529" si="15">K520/100*60</f>
        <v>30600</v>
      </c>
      <c r="J520" s="717">
        <f t="shared" ref="J520:J529" si="16">K520/100*40</f>
        <v>20400</v>
      </c>
      <c r="K520" s="717">
        <v>51000</v>
      </c>
    </row>
    <row r="521" spans="1:11" s="510" customFormat="1" ht="75" hidden="1" customHeight="1">
      <c r="A521" s="1020" t="s">
        <v>1575</v>
      </c>
      <c r="B521" s="1022"/>
      <c r="C521" s="714" t="s">
        <v>1551</v>
      </c>
      <c r="D521" s="714">
        <v>60</v>
      </c>
      <c r="E521" s="725" t="s">
        <v>1581</v>
      </c>
      <c r="F521" s="829" t="s">
        <v>2230</v>
      </c>
      <c r="G521" s="1048"/>
      <c r="H521" s="1100"/>
      <c r="I521" s="717">
        <f t="shared" si="15"/>
        <v>60000</v>
      </c>
      <c r="J521" s="717">
        <f t="shared" si="16"/>
        <v>40000</v>
      </c>
      <c r="K521" s="717">
        <v>100000</v>
      </c>
    </row>
    <row r="522" spans="1:11" s="510" customFormat="1" ht="75" hidden="1" customHeight="1">
      <c r="A522" s="1020" t="s">
        <v>1576</v>
      </c>
      <c r="B522" s="1022"/>
      <c r="C522" s="714" t="s">
        <v>1584</v>
      </c>
      <c r="D522" s="744">
        <v>2000</v>
      </c>
      <c r="E522" s="725" t="s">
        <v>1582</v>
      </c>
      <c r="F522" s="1044" t="s">
        <v>2231</v>
      </c>
      <c r="G522" s="1048"/>
      <c r="H522" s="1100"/>
      <c r="I522" s="717">
        <f t="shared" si="15"/>
        <v>77226.599999999991</v>
      </c>
      <c r="J522" s="717">
        <f t="shared" si="16"/>
        <v>51484.399999999994</v>
      </c>
      <c r="K522" s="717">
        <v>128711</v>
      </c>
    </row>
    <row r="523" spans="1:11" s="510" customFormat="1" ht="75" hidden="1" customHeight="1">
      <c r="A523" s="1020" t="s">
        <v>1577</v>
      </c>
      <c r="B523" s="1022"/>
      <c r="C523" s="714" t="s">
        <v>1584</v>
      </c>
      <c r="D523" s="714">
        <v>500</v>
      </c>
      <c r="E523" s="725" t="s">
        <v>1582</v>
      </c>
      <c r="F523" s="1045"/>
      <c r="G523" s="1048"/>
      <c r="H523" s="1100"/>
      <c r="I523" s="717">
        <f t="shared" si="15"/>
        <v>7200</v>
      </c>
      <c r="J523" s="717">
        <f t="shared" si="16"/>
        <v>4800</v>
      </c>
      <c r="K523" s="717">
        <v>12000</v>
      </c>
    </row>
    <row r="524" spans="1:11" s="510" customFormat="1" ht="75" hidden="1" customHeight="1">
      <c r="A524" s="1020" t="s">
        <v>1578</v>
      </c>
      <c r="B524" s="1022"/>
      <c r="C524" s="714" t="s">
        <v>1551</v>
      </c>
      <c r="D524" s="714">
        <v>45</v>
      </c>
      <c r="E524" s="725" t="s">
        <v>1582</v>
      </c>
      <c r="F524" s="1045"/>
      <c r="G524" s="1048"/>
      <c r="H524" s="1100"/>
      <c r="I524" s="717">
        <f t="shared" si="15"/>
        <v>24000</v>
      </c>
      <c r="J524" s="717">
        <f t="shared" si="16"/>
        <v>16000</v>
      </c>
      <c r="K524" s="717">
        <v>40000</v>
      </c>
    </row>
    <row r="525" spans="1:11" s="510" customFormat="1" ht="75" hidden="1" customHeight="1">
      <c r="A525" s="1020" t="s">
        <v>1579</v>
      </c>
      <c r="B525" s="1022"/>
      <c r="C525" s="714" t="s">
        <v>1551</v>
      </c>
      <c r="D525" s="714">
        <v>25</v>
      </c>
      <c r="E525" s="725" t="s">
        <v>1582</v>
      </c>
      <c r="F525" s="1045"/>
      <c r="G525" s="1048"/>
      <c r="H525" s="1100"/>
      <c r="I525" s="717">
        <f t="shared" si="15"/>
        <v>5400</v>
      </c>
      <c r="J525" s="717">
        <f t="shared" si="16"/>
        <v>3600</v>
      </c>
      <c r="K525" s="717">
        <v>9000</v>
      </c>
    </row>
    <row r="526" spans="1:11" s="510" customFormat="1" ht="75" hidden="1" customHeight="1">
      <c r="A526" s="1020" t="s">
        <v>1580</v>
      </c>
      <c r="B526" s="1022"/>
      <c r="C526" s="714" t="s">
        <v>1585</v>
      </c>
      <c r="D526" s="714">
        <v>16</v>
      </c>
      <c r="E526" s="725" t="s">
        <v>1583</v>
      </c>
      <c r="F526" s="1045"/>
      <c r="G526" s="1048"/>
      <c r="H526" s="1100"/>
      <c r="I526" s="717">
        <f t="shared" si="15"/>
        <v>4800</v>
      </c>
      <c r="J526" s="717">
        <f t="shared" si="16"/>
        <v>3200</v>
      </c>
      <c r="K526" s="717">
        <v>8000</v>
      </c>
    </row>
    <row r="527" spans="1:11" s="510" customFormat="1" ht="75" hidden="1" customHeight="1">
      <c r="A527" s="1020" t="s">
        <v>1587</v>
      </c>
      <c r="B527" s="1022"/>
      <c r="C527" s="714" t="s">
        <v>1591</v>
      </c>
      <c r="D527" s="716">
        <v>0.5</v>
      </c>
      <c r="E527" s="725" t="s">
        <v>1582</v>
      </c>
      <c r="F527" s="1045"/>
      <c r="G527" s="1048"/>
      <c r="H527" s="1100"/>
      <c r="I527" s="717">
        <f t="shared" si="15"/>
        <v>9000</v>
      </c>
      <c r="J527" s="717">
        <f t="shared" si="16"/>
        <v>6000</v>
      </c>
      <c r="K527" s="717">
        <v>15000</v>
      </c>
    </row>
    <row r="528" spans="1:11" s="510" customFormat="1" ht="75" hidden="1" customHeight="1">
      <c r="A528" s="1020" t="s">
        <v>1588</v>
      </c>
      <c r="B528" s="1022"/>
      <c r="C528" s="714" t="s">
        <v>1593</v>
      </c>
      <c r="D528" s="714">
        <v>1</v>
      </c>
      <c r="E528" s="725" t="s">
        <v>1592</v>
      </c>
      <c r="F528" s="1045"/>
      <c r="G528" s="1048"/>
      <c r="H528" s="1100"/>
      <c r="I528" s="717">
        <f t="shared" si="15"/>
        <v>5400</v>
      </c>
      <c r="J528" s="717">
        <f t="shared" si="16"/>
        <v>3600</v>
      </c>
      <c r="K528" s="717">
        <v>9000</v>
      </c>
    </row>
    <row r="529" spans="1:11" s="510" customFormat="1" ht="75" hidden="1" customHeight="1">
      <c r="A529" s="1020" t="s">
        <v>1590</v>
      </c>
      <c r="B529" s="1022"/>
      <c r="C529" s="714" t="s">
        <v>1584</v>
      </c>
      <c r="D529" s="744">
        <v>1000</v>
      </c>
      <c r="E529" s="725" t="s">
        <v>1582</v>
      </c>
      <c r="F529" s="1046"/>
      <c r="G529" s="1049"/>
      <c r="H529" s="1101"/>
      <c r="I529" s="717">
        <f t="shared" si="15"/>
        <v>14499</v>
      </c>
      <c r="J529" s="717">
        <f t="shared" si="16"/>
        <v>9666</v>
      </c>
      <c r="K529" s="717">
        <v>24165</v>
      </c>
    </row>
    <row r="530" spans="1:11" ht="74.25" hidden="1" customHeight="1">
      <c r="A530" s="1011" t="s">
        <v>278</v>
      </c>
      <c r="B530" s="1013"/>
      <c r="C530" s="504"/>
      <c r="D530" s="709"/>
      <c r="E530" s="709"/>
      <c r="F530" s="708"/>
      <c r="G530" s="709"/>
      <c r="H530" s="710"/>
      <c r="I530" s="545">
        <f>SUM(I531)</f>
        <v>9600</v>
      </c>
      <c r="J530" s="545">
        <f>SUM(J531)</f>
        <v>6400</v>
      </c>
      <c r="K530" s="545">
        <f>I530+J530</f>
        <v>16000</v>
      </c>
    </row>
    <row r="531" spans="1:11" s="510" customFormat="1" ht="74.25" hidden="1" customHeight="1">
      <c r="A531" s="1020" t="s">
        <v>1595</v>
      </c>
      <c r="B531" s="1022"/>
      <c r="C531" s="714" t="s">
        <v>18</v>
      </c>
      <c r="D531" s="714">
        <v>15</v>
      </c>
      <c r="E531" s="725" t="s">
        <v>1596</v>
      </c>
      <c r="F531" s="833" t="s">
        <v>2234</v>
      </c>
      <c r="G531" s="835">
        <v>8100</v>
      </c>
      <c r="H531" s="834" t="s">
        <v>2445</v>
      </c>
      <c r="I531" s="717">
        <f>K531/100*60</f>
        <v>9600</v>
      </c>
      <c r="J531" s="717">
        <f>K531/100*40</f>
        <v>6400</v>
      </c>
      <c r="K531" s="717">
        <v>16000</v>
      </c>
    </row>
    <row r="532" spans="1:11" ht="73.5" hidden="1" customHeight="1">
      <c r="A532" s="1011" t="s">
        <v>312</v>
      </c>
      <c r="B532" s="1013"/>
      <c r="C532" s="709"/>
      <c r="D532" s="709"/>
      <c r="E532" s="709"/>
      <c r="F532" s="708"/>
      <c r="G532" s="709"/>
      <c r="H532" s="710"/>
      <c r="I532" s="545">
        <f>SUM(I533:I536)</f>
        <v>22627.200000000001</v>
      </c>
      <c r="J532" s="545">
        <f>SUM(J533:J536)</f>
        <v>15084.8</v>
      </c>
      <c r="K532" s="545">
        <f>I532+J532</f>
        <v>37712</v>
      </c>
    </row>
    <row r="533" spans="1:11" s="510" customFormat="1" ht="74.25" hidden="1" customHeight="1">
      <c r="A533" s="1020" t="s">
        <v>1589</v>
      </c>
      <c r="B533" s="1022"/>
      <c r="C533" s="714" t="s">
        <v>1594</v>
      </c>
      <c r="D533" s="714">
        <v>1</v>
      </c>
      <c r="E533" s="725" t="s">
        <v>1583</v>
      </c>
      <c r="F533" s="1044" t="s">
        <v>2224</v>
      </c>
      <c r="G533" s="1047">
        <v>8100</v>
      </c>
      <c r="H533" s="1099" t="s">
        <v>2273</v>
      </c>
      <c r="I533" s="717">
        <f>K533/100*60</f>
        <v>4200</v>
      </c>
      <c r="J533" s="717">
        <f>K533/100*40</f>
        <v>2800</v>
      </c>
      <c r="K533" s="717">
        <v>7000</v>
      </c>
    </row>
    <row r="534" spans="1:11" s="510" customFormat="1" ht="74.25" hidden="1" customHeight="1">
      <c r="A534" s="1020" t="s">
        <v>1597</v>
      </c>
      <c r="B534" s="1022"/>
      <c r="C534" s="714" t="s">
        <v>1600</v>
      </c>
      <c r="D534" s="714">
        <v>18</v>
      </c>
      <c r="E534" s="725" t="s">
        <v>1582</v>
      </c>
      <c r="F534" s="1045"/>
      <c r="G534" s="1048"/>
      <c r="H534" s="1100"/>
      <c r="I534" s="717">
        <f>K534/100*60</f>
        <v>4800</v>
      </c>
      <c r="J534" s="717">
        <f>K534/100*40</f>
        <v>3200</v>
      </c>
      <c r="K534" s="717">
        <v>8000</v>
      </c>
    </row>
    <row r="535" spans="1:11" s="510" customFormat="1" ht="74.25" hidden="1" customHeight="1">
      <c r="A535" s="1020" t="s">
        <v>1598</v>
      </c>
      <c r="B535" s="1022"/>
      <c r="C535" s="714" t="s">
        <v>1601</v>
      </c>
      <c r="D535" s="714">
        <v>5</v>
      </c>
      <c r="E535" s="725" t="s">
        <v>1582</v>
      </c>
      <c r="F535" s="1045"/>
      <c r="G535" s="1048"/>
      <c r="H535" s="1100"/>
      <c r="I535" s="717">
        <f>K535/100*60</f>
        <v>8400</v>
      </c>
      <c r="J535" s="717">
        <f>K535/100*40</f>
        <v>5600</v>
      </c>
      <c r="K535" s="717">
        <v>14000</v>
      </c>
    </row>
    <row r="536" spans="1:11" s="510" customFormat="1" ht="74.25" hidden="1" customHeight="1">
      <c r="A536" s="1020" t="s">
        <v>1599</v>
      </c>
      <c r="B536" s="1022"/>
      <c r="C536" s="714" t="s">
        <v>1601</v>
      </c>
      <c r="D536" s="714">
        <v>3</v>
      </c>
      <c r="E536" s="725" t="s">
        <v>1583</v>
      </c>
      <c r="F536" s="1046"/>
      <c r="G536" s="1049"/>
      <c r="H536" s="1101"/>
      <c r="I536" s="717">
        <f>K536/100*60</f>
        <v>5227.2000000000007</v>
      </c>
      <c r="J536" s="717">
        <f>K536/100*40</f>
        <v>3484.8</v>
      </c>
      <c r="K536" s="717">
        <v>8712</v>
      </c>
    </row>
    <row r="537" spans="1:11" s="510" customFormat="1" ht="74.25" hidden="1" customHeight="1">
      <c r="A537" s="753"/>
      <c r="B537" s="753"/>
      <c r="C537" s="754"/>
      <c r="D537" s="754"/>
      <c r="E537" s="759"/>
      <c r="F537" s="755"/>
      <c r="G537" s="758"/>
      <c r="H537" s="756"/>
      <c r="I537" s="757"/>
      <c r="J537" s="757"/>
      <c r="K537" s="757"/>
    </row>
    <row r="538" spans="1:11" s="510" customFormat="1" ht="74.25" hidden="1" customHeight="1">
      <c r="A538" s="753"/>
      <c r="B538" s="753"/>
      <c r="C538" s="754"/>
      <c r="D538" s="754"/>
      <c r="E538" s="759"/>
      <c r="F538" s="755"/>
      <c r="G538" s="758"/>
      <c r="H538" s="756"/>
      <c r="I538" s="757"/>
      <c r="J538" s="757"/>
      <c r="K538" s="757"/>
    </row>
    <row r="539" spans="1:11" s="510" customFormat="1" ht="74.25" hidden="1" customHeight="1">
      <c r="A539" s="753"/>
      <c r="B539" s="753"/>
      <c r="C539" s="754"/>
      <c r="D539" s="754"/>
      <c r="E539" s="759"/>
      <c r="F539" s="755"/>
      <c r="G539" s="758"/>
      <c r="H539" s="756"/>
      <c r="I539" s="757"/>
      <c r="J539" s="757"/>
      <c r="K539" s="757"/>
    </row>
    <row r="540" spans="1:11" s="510" customFormat="1" ht="74.25" hidden="1" customHeight="1">
      <c r="A540" s="753"/>
      <c r="B540" s="753"/>
      <c r="C540" s="754"/>
      <c r="D540" s="754"/>
      <c r="E540" s="759"/>
      <c r="F540" s="755"/>
      <c r="G540" s="758"/>
      <c r="H540" s="756"/>
      <c r="I540" s="757"/>
      <c r="J540" s="757"/>
      <c r="K540" s="757"/>
    </row>
    <row r="541" spans="1:11" s="510" customFormat="1" ht="74.25" hidden="1" customHeight="1">
      <c r="A541" s="753"/>
      <c r="B541" s="753"/>
      <c r="C541" s="754"/>
      <c r="D541" s="754"/>
      <c r="E541" s="759"/>
      <c r="F541" s="755"/>
      <c r="G541" s="758"/>
      <c r="H541" s="756"/>
      <c r="I541" s="757"/>
      <c r="J541" s="757"/>
      <c r="K541" s="757"/>
    </row>
    <row r="542" spans="1:11" s="510" customFormat="1" ht="74.25" hidden="1" customHeight="1">
      <c r="A542" s="753"/>
      <c r="B542" s="753"/>
      <c r="C542" s="754"/>
      <c r="D542" s="754"/>
      <c r="E542" s="759"/>
      <c r="F542" s="755"/>
      <c r="G542" s="758"/>
      <c r="H542" s="756"/>
      <c r="I542" s="757"/>
      <c r="J542" s="757"/>
      <c r="K542" s="757"/>
    </row>
    <row r="543" spans="1:11" s="510" customFormat="1" ht="74.25" hidden="1" customHeight="1">
      <c r="A543" s="753"/>
      <c r="B543" s="753"/>
      <c r="C543" s="754"/>
      <c r="D543" s="754"/>
      <c r="E543" s="759"/>
      <c r="F543" s="755"/>
      <c r="G543" s="758"/>
      <c r="H543" s="756"/>
      <c r="I543" s="757"/>
      <c r="J543" s="757"/>
      <c r="K543" s="757"/>
    </row>
    <row r="544" spans="1:11" s="510" customFormat="1" ht="74.25" hidden="1" customHeight="1">
      <c r="A544" s="753"/>
      <c r="B544" s="753"/>
      <c r="C544" s="754"/>
      <c r="D544" s="754"/>
      <c r="E544" s="759"/>
      <c r="F544" s="755"/>
      <c r="G544" s="758"/>
      <c r="H544" s="756"/>
      <c r="I544" s="757"/>
      <c r="J544" s="757"/>
      <c r="K544" s="757"/>
    </row>
    <row r="545" spans="1:11" s="510" customFormat="1" ht="74.25" hidden="1" customHeight="1">
      <c r="A545" s="753"/>
      <c r="B545" s="753"/>
      <c r="C545" s="754"/>
      <c r="D545" s="754"/>
      <c r="E545" s="759"/>
      <c r="F545" s="755"/>
      <c r="G545" s="758"/>
      <c r="H545" s="756"/>
      <c r="I545" s="757"/>
      <c r="J545" s="757"/>
      <c r="K545" s="757"/>
    </row>
    <row r="546" spans="1:11" s="510" customFormat="1" ht="74.25" hidden="1" customHeight="1">
      <c r="A546" s="753"/>
      <c r="B546" s="753"/>
      <c r="C546" s="754"/>
      <c r="D546" s="754"/>
      <c r="E546" s="759"/>
      <c r="F546" s="755"/>
      <c r="G546" s="758"/>
      <c r="H546" s="756"/>
      <c r="I546" s="757"/>
      <c r="J546" s="757"/>
      <c r="K546" s="757"/>
    </row>
    <row r="547" spans="1:11" s="510" customFormat="1" ht="74.25" hidden="1" customHeight="1">
      <c r="A547" s="753"/>
      <c r="B547" s="753"/>
      <c r="C547" s="754"/>
      <c r="D547" s="754"/>
      <c r="E547" s="759"/>
      <c r="F547" s="755"/>
      <c r="G547" s="758"/>
      <c r="H547" s="756"/>
      <c r="I547" s="757"/>
      <c r="J547" s="757"/>
      <c r="K547" s="757"/>
    </row>
    <row r="548" spans="1:11" ht="34.5" hidden="1" customHeight="1">
      <c r="A548" s="1128" t="s">
        <v>51</v>
      </c>
      <c r="B548" s="1128"/>
      <c r="C548" s="1128"/>
      <c r="D548" s="1128"/>
      <c r="E548" s="1128"/>
      <c r="F548" s="1128"/>
      <c r="G548" s="1128"/>
      <c r="H548" s="1128"/>
      <c r="I548" s="1128"/>
      <c r="J548" s="1128"/>
      <c r="K548" s="1128"/>
    </row>
    <row r="549" spans="1:11" ht="30.75" hidden="1" customHeight="1">
      <c r="A549" s="1128" t="s">
        <v>52</v>
      </c>
      <c r="B549" s="1128"/>
      <c r="C549" s="1128"/>
      <c r="D549" s="1128"/>
      <c r="E549" s="1128"/>
      <c r="F549" s="1128"/>
      <c r="G549" s="1128"/>
      <c r="H549" s="1128"/>
      <c r="I549" s="1128"/>
      <c r="J549" s="1128"/>
      <c r="K549" s="1128"/>
    </row>
    <row r="550" spans="1:11" ht="33" hidden="1" customHeight="1">
      <c r="A550" s="1132" t="s">
        <v>50</v>
      </c>
      <c r="B550" s="1132"/>
      <c r="C550" s="1132"/>
      <c r="D550" s="1132"/>
      <c r="E550" s="1132"/>
      <c r="F550" s="1132"/>
      <c r="G550" s="1132"/>
      <c r="H550" s="1132"/>
      <c r="I550" s="1132"/>
      <c r="J550" s="1132"/>
      <c r="K550" s="1132"/>
    </row>
    <row r="551" spans="1:11" ht="33" hidden="1" customHeight="1">
      <c r="A551" s="154"/>
      <c r="B551" s="154"/>
      <c r="C551" s="154"/>
      <c r="D551" s="154"/>
      <c r="E551" s="154"/>
      <c r="F551" s="154"/>
      <c r="G551" s="707"/>
      <c r="H551" s="707"/>
      <c r="I551" s="707"/>
      <c r="J551" s="707"/>
      <c r="K551" s="707"/>
    </row>
    <row r="552" spans="1:11" ht="35.25" hidden="1">
      <c r="A552" s="1128" t="s">
        <v>1336</v>
      </c>
      <c r="B552" s="1128"/>
      <c r="C552" s="1128"/>
      <c r="D552" s="1128"/>
      <c r="E552" s="1128"/>
      <c r="F552" s="1128"/>
      <c r="G552" s="1128"/>
      <c r="H552" s="1128"/>
      <c r="I552" s="1128"/>
      <c r="J552" s="1128"/>
      <c r="K552" s="1128"/>
    </row>
    <row r="553" spans="1:11" s="620" customFormat="1" ht="33" hidden="1">
      <c r="A553" s="65"/>
      <c r="B553" s="65"/>
      <c r="C553" s="65"/>
      <c r="D553" s="65"/>
      <c r="E553" s="65"/>
      <c r="F553" s="65"/>
      <c r="G553" s="68"/>
      <c r="H553" s="68"/>
      <c r="I553" s="68"/>
      <c r="J553" s="68"/>
      <c r="K553" s="68"/>
    </row>
    <row r="554" spans="1:11" ht="20.100000000000001" hidden="1" customHeight="1">
      <c r="A554" s="65"/>
      <c r="B554" s="65"/>
      <c r="C554" s="65"/>
      <c r="D554" s="65"/>
      <c r="E554" s="65"/>
      <c r="F554" s="65"/>
      <c r="G554" s="68"/>
      <c r="H554" s="68"/>
      <c r="I554" s="68"/>
      <c r="J554" s="68"/>
      <c r="K554" s="68"/>
    </row>
    <row r="555" spans="1:11" ht="20.100000000000001" hidden="1" customHeight="1">
      <c r="A555" s="979"/>
      <c r="B555" s="979"/>
      <c r="C555" s="979"/>
      <c r="D555" s="979"/>
      <c r="E555" s="979"/>
      <c r="F555" s="979"/>
      <c r="G555" s="979"/>
      <c r="H555" s="979"/>
      <c r="I555" s="979"/>
      <c r="J555" s="979"/>
      <c r="K555" s="979"/>
    </row>
    <row r="556" spans="1:11" ht="45.75" hidden="1" customHeight="1">
      <c r="A556" s="1030" t="s">
        <v>1381</v>
      </c>
      <c r="B556" s="1030"/>
      <c r="C556" s="1030"/>
      <c r="D556" s="1030"/>
      <c r="E556" s="1030"/>
      <c r="F556" s="1030"/>
      <c r="G556" s="1030"/>
      <c r="H556" s="1030"/>
      <c r="I556" s="1030"/>
      <c r="J556" s="1030"/>
      <c r="K556" s="1030"/>
    </row>
    <row r="557" spans="1:11" ht="66" hidden="1" customHeight="1">
      <c r="A557" s="1031" t="s">
        <v>37</v>
      </c>
      <c r="B557" s="1033"/>
      <c r="C557" s="1037" t="s">
        <v>178</v>
      </c>
      <c r="D557" s="1037" t="s">
        <v>179</v>
      </c>
      <c r="E557" s="1037" t="s">
        <v>1521</v>
      </c>
      <c r="F557" s="1037" t="s">
        <v>14</v>
      </c>
      <c r="G557" s="1037" t="s">
        <v>1515</v>
      </c>
      <c r="H557" s="1037" t="s">
        <v>16</v>
      </c>
      <c r="I557" s="1039" t="s">
        <v>1490</v>
      </c>
      <c r="J557" s="1039" t="s">
        <v>2203</v>
      </c>
      <c r="K557" s="1037" t="s">
        <v>200</v>
      </c>
    </row>
    <row r="558" spans="1:11" s="500" customFormat="1" ht="30" hidden="1">
      <c r="A558" s="1034"/>
      <c r="B558" s="1036"/>
      <c r="C558" s="1038"/>
      <c r="D558" s="1038"/>
      <c r="E558" s="1038"/>
      <c r="F558" s="1038"/>
      <c r="G558" s="1038"/>
      <c r="H558" s="1038"/>
      <c r="I558" s="1039"/>
      <c r="J558" s="1039"/>
      <c r="K558" s="1038"/>
    </row>
    <row r="559" spans="1:11" s="500" customFormat="1" ht="74.25" hidden="1" customHeight="1">
      <c r="A559" s="1102" t="s">
        <v>1564</v>
      </c>
      <c r="B559" s="1103"/>
      <c r="C559" s="729"/>
      <c r="D559" s="729"/>
      <c r="E559" s="726"/>
      <c r="F559" s="727"/>
      <c r="G559" s="728"/>
      <c r="H559" s="728"/>
      <c r="I559" s="642">
        <f>I560+I564</f>
        <v>260177.4</v>
      </c>
      <c r="J559" s="642">
        <f>J560+J564</f>
        <v>173451.6</v>
      </c>
      <c r="K559" s="642">
        <f>I559+J559</f>
        <v>433629</v>
      </c>
    </row>
    <row r="560" spans="1:11" ht="75" hidden="1" customHeight="1">
      <c r="A560" s="1011" t="s">
        <v>1541</v>
      </c>
      <c r="B560" s="1013"/>
      <c r="C560" s="709"/>
      <c r="D560" s="709"/>
      <c r="E560" s="709"/>
      <c r="F560" s="708"/>
      <c r="G560" s="709"/>
      <c r="H560" s="710"/>
      <c r="I560" s="545">
        <f>SUM(I561:I563)</f>
        <v>236177.4</v>
      </c>
      <c r="J560" s="545">
        <f>SUM(J561:J563)</f>
        <v>157451.6</v>
      </c>
      <c r="K560" s="545">
        <f>I560+J560</f>
        <v>393629</v>
      </c>
    </row>
    <row r="561" spans="1:11" s="510" customFormat="1" ht="74.25" hidden="1" customHeight="1">
      <c r="A561" s="1020" t="s">
        <v>1566</v>
      </c>
      <c r="B561" s="1022"/>
      <c r="C561" s="714" t="s">
        <v>1544</v>
      </c>
      <c r="D561" s="714"/>
      <c r="E561" s="714" t="s">
        <v>1544</v>
      </c>
      <c r="F561" s="829" t="s">
        <v>2229</v>
      </c>
      <c r="G561" s="1047">
        <v>8100</v>
      </c>
      <c r="H561" s="1099" t="s">
        <v>2273</v>
      </c>
      <c r="I561" s="717">
        <f>K561/100*60</f>
        <v>46800</v>
      </c>
      <c r="J561" s="717">
        <f>K561/100*40</f>
        <v>31200</v>
      </c>
      <c r="K561" s="717">
        <v>78000</v>
      </c>
    </row>
    <row r="562" spans="1:11" s="510" customFormat="1" ht="75" hidden="1" customHeight="1">
      <c r="A562" s="1020" t="s">
        <v>1546</v>
      </c>
      <c r="B562" s="1022"/>
      <c r="C562" s="714" t="s">
        <v>1544</v>
      </c>
      <c r="D562" s="714"/>
      <c r="E562" s="714" t="s">
        <v>1544</v>
      </c>
      <c r="F562" s="829" t="s">
        <v>2230</v>
      </c>
      <c r="G562" s="1048"/>
      <c r="H562" s="1100"/>
      <c r="I562" s="717">
        <f>K562/100*60</f>
        <v>34800</v>
      </c>
      <c r="J562" s="717">
        <f>K562/100*40</f>
        <v>23200</v>
      </c>
      <c r="K562" s="717">
        <v>58000</v>
      </c>
    </row>
    <row r="563" spans="1:11" s="510" customFormat="1" ht="75" hidden="1" customHeight="1">
      <c r="A563" s="1020" t="s">
        <v>1568</v>
      </c>
      <c r="B563" s="1022"/>
      <c r="C563" s="714" t="s">
        <v>1544</v>
      </c>
      <c r="D563" s="714"/>
      <c r="E563" s="714" t="s">
        <v>1544</v>
      </c>
      <c r="F563" s="829" t="s">
        <v>2231</v>
      </c>
      <c r="G563" s="1048"/>
      <c r="H563" s="1100"/>
      <c r="I563" s="717">
        <f>K563/100*60</f>
        <v>154577.4</v>
      </c>
      <c r="J563" s="717">
        <f>K563/100*40</f>
        <v>103051.6</v>
      </c>
      <c r="K563" s="717">
        <v>257629</v>
      </c>
    </row>
    <row r="564" spans="1:11" ht="73.5" hidden="1" customHeight="1">
      <c r="A564" s="1011" t="s">
        <v>312</v>
      </c>
      <c r="B564" s="1013"/>
      <c r="C564" s="709"/>
      <c r="D564" s="709"/>
      <c r="E564" s="709"/>
      <c r="F564" s="708"/>
      <c r="G564" s="709"/>
      <c r="H564" s="710"/>
      <c r="I564" s="545">
        <f>SUM(I565:I565)</f>
        <v>24000</v>
      </c>
      <c r="J564" s="545">
        <f>SUM(J565:J565)</f>
        <v>16000</v>
      </c>
      <c r="K564" s="545">
        <f>SUM(K565:K565)</f>
        <v>40000</v>
      </c>
    </row>
    <row r="565" spans="1:11" s="510" customFormat="1" ht="74.25" hidden="1" customHeight="1">
      <c r="A565" s="1020" t="s">
        <v>1567</v>
      </c>
      <c r="B565" s="1022"/>
      <c r="C565" s="714" t="s">
        <v>1544</v>
      </c>
      <c r="D565" s="714"/>
      <c r="E565" s="714" t="s">
        <v>1544</v>
      </c>
      <c r="F565" s="833" t="s">
        <v>2224</v>
      </c>
      <c r="G565" s="835">
        <v>8100</v>
      </c>
      <c r="H565" s="834" t="s">
        <v>2273</v>
      </c>
      <c r="I565" s="717">
        <f>K565/100*60</f>
        <v>24000</v>
      </c>
      <c r="J565" s="717">
        <f>K565/100*40</f>
        <v>16000</v>
      </c>
      <c r="K565" s="717">
        <v>40000</v>
      </c>
    </row>
    <row r="566" spans="1:11" s="743" customFormat="1" ht="36.75" hidden="1" customHeight="1">
      <c r="A566" s="1135"/>
      <c r="B566" s="1136"/>
      <c r="C566" s="738"/>
      <c r="D566" s="738"/>
      <c r="E566" s="739"/>
      <c r="F566" s="740"/>
      <c r="G566" s="741"/>
      <c r="H566" s="741"/>
      <c r="I566" s="742"/>
      <c r="J566" s="742"/>
      <c r="K566" s="742"/>
    </row>
    <row r="567" spans="1:11" ht="66" hidden="1" customHeight="1">
      <c r="A567" s="1031" t="s">
        <v>37</v>
      </c>
      <c r="B567" s="1033"/>
      <c r="C567" s="1037" t="s">
        <v>178</v>
      </c>
      <c r="D567" s="1037" t="s">
        <v>179</v>
      </c>
      <c r="E567" s="1037" t="s">
        <v>1521</v>
      </c>
      <c r="F567" s="1037" t="s">
        <v>14</v>
      </c>
      <c r="G567" s="1037" t="s">
        <v>1515</v>
      </c>
      <c r="H567" s="1037" t="s">
        <v>16</v>
      </c>
      <c r="I567" s="1039" t="s">
        <v>1490</v>
      </c>
      <c r="J567" s="1039" t="s">
        <v>2203</v>
      </c>
      <c r="K567" s="1037" t="s">
        <v>200</v>
      </c>
    </row>
    <row r="568" spans="1:11" s="500" customFormat="1" ht="30" hidden="1">
      <c r="A568" s="1034"/>
      <c r="B568" s="1036"/>
      <c r="C568" s="1038"/>
      <c r="D568" s="1038"/>
      <c r="E568" s="1038"/>
      <c r="F568" s="1038"/>
      <c r="G568" s="1038"/>
      <c r="H568" s="1038"/>
      <c r="I568" s="1039"/>
      <c r="J568" s="1039"/>
      <c r="K568" s="1038"/>
    </row>
    <row r="569" spans="1:11" s="500" customFormat="1" ht="74.25" hidden="1" customHeight="1">
      <c r="A569" s="1102" t="s">
        <v>1710</v>
      </c>
      <c r="B569" s="1103"/>
      <c r="C569" s="729"/>
      <c r="D569" s="729"/>
      <c r="E569" s="726"/>
      <c r="F569" s="727"/>
      <c r="G569" s="728"/>
      <c r="H569" s="728"/>
      <c r="I569" s="642">
        <f>I570</f>
        <v>167322.6</v>
      </c>
      <c r="J569" s="642">
        <f>J570</f>
        <v>111548.4</v>
      </c>
      <c r="K569" s="642">
        <f>I569+J569</f>
        <v>278871</v>
      </c>
    </row>
    <row r="570" spans="1:11" ht="75" hidden="1" customHeight="1">
      <c r="A570" s="1011" t="s">
        <v>1541</v>
      </c>
      <c r="B570" s="1013"/>
      <c r="C570" s="709"/>
      <c r="D570" s="709"/>
      <c r="E570" s="709"/>
      <c r="F570" s="708"/>
      <c r="G570" s="709"/>
      <c r="H570" s="710"/>
      <c r="I570" s="545">
        <f>SUM(I571:I578)</f>
        <v>167322.6</v>
      </c>
      <c r="J570" s="545">
        <f>SUM(J571:J578)</f>
        <v>111548.4</v>
      </c>
      <c r="K570" s="545">
        <f>I570+J570</f>
        <v>278871</v>
      </c>
    </row>
    <row r="571" spans="1:11" s="510" customFormat="1" ht="74.25" hidden="1" customHeight="1">
      <c r="A571" s="1020" t="s">
        <v>1761</v>
      </c>
      <c r="B571" s="1022"/>
      <c r="C571" s="714" t="s">
        <v>1712</v>
      </c>
      <c r="D571" s="714">
        <v>10</v>
      </c>
      <c r="E571" s="714" t="s">
        <v>1713</v>
      </c>
      <c r="F571" s="1044" t="s">
        <v>2229</v>
      </c>
      <c r="G571" s="1047">
        <v>8100</v>
      </c>
      <c r="H571" s="1099" t="s">
        <v>2273</v>
      </c>
      <c r="I571" s="717">
        <f t="shared" ref="I571:I578" si="17">K571/100*60</f>
        <v>18000</v>
      </c>
      <c r="J571" s="717">
        <f t="shared" ref="J571:J578" si="18">K571/100*40</f>
        <v>12000</v>
      </c>
      <c r="K571" s="717">
        <v>30000</v>
      </c>
    </row>
    <row r="572" spans="1:11" s="510" customFormat="1" ht="74.25" hidden="1" customHeight="1">
      <c r="A572" s="1020" t="s">
        <v>1762</v>
      </c>
      <c r="B572" s="1022"/>
      <c r="C572" s="714" t="s">
        <v>1714</v>
      </c>
      <c r="D572" s="714">
        <v>10</v>
      </c>
      <c r="E572" s="714" t="s">
        <v>1715</v>
      </c>
      <c r="F572" s="1045"/>
      <c r="G572" s="1048"/>
      <c r="H572" s="1100"/>
      <c r="I572" s="717">
        <f t="shared" si="17"/>
        <v>18000</v>
      </c>
      <c r="J572" s="717">
        <f t="shared" si="18"/>
        <v>12000</v>
      </c>
      <c r="K572" s="717">
        <v>30000</v>
      </c>
    </row>
    <row r="573" spans="1:11" s="510" customFormat="1" ht="74.25" hidden="1" customHeight="1">
      <c r="A573" s="1020" t="s">
        <v>1763</v>
      </c>
      <c r="B573" s="1022"/>
      <c r="C573" s="714" t="s">
        <v>1716</v>
      </c>
      <c r="D573" s="714">
        <v>15</v>
      </c>
      <c r="E573" s="714" t="s">
        <v>1717</v>
      </c>
      <c r="F573" s="1045"/>
      <c r="G573" s="1048"/>
      <c r="H573" s="1100"/>
      <c r="I573" s="717">
        <f t="shared" si="17"/>
        <v>14400</v>
      </c>
      <c r="J573" s="717">
        <f t="shared" si="18"/>
        <v>9600</v>
      </c>
      <c r="K573" s="717">
        <v>24000</v>
      </c>
    </row>
    <row r="574" spans="1:11" s="510" customFormat="1" ht="74.25" hidden="1" customHeight="1">
      <c r="A574" s="1020" t="s">
        <v>1764</v>
      </c>
      <c r="B574" s="1022"/>
      <c r="C574" s="714" t="s">
        <v>1718</v>
      </c>
      <c r="D574" s="714">
        <v>30</v>
      </c>
      <c r="E574" s="714" t="s">
        <v>1719</v>
      </c>
      <c r="F574" s="833" t="s">
        <v>2236</v>
      </c>
      <c r="G574" s="1049"/>
      <c r="H574" s="1101"/>
      <c r="I574" s="717">
        <f t="shared" si="17"/>
        <v>6000</v>
      </c>
      <c r="J574" s="717">
        <f t="shared" si="18"/>
        <v>4000</v>
      </c>
      <c r="K574" s="717">
        <v>10000</v>
      </c>
    </row>
    <row r="575" spans="1:11" s="510" customFormat="1" ht="74.25" hidden="1" customHeight="1">
      <c r="A575" s="1020" t="s">
        <v>1765</v>
      </c>
      <c r="B575" s="1022"/>
      <c r="C575" s="714" t="s">
        <v>1720</v>
      </c>
      <c r="D575" s="714">
        <v>70</v>
      </c>
      <c r="E575" s="714" t="s">
        <v>1721</v>
      </c>
      <c r="F575" s="829" t="s">
        <v>2230</v>
      </c>
      <c r="G575" s="827">
        <v>8100</v>
      </c>
      <c r="H575" s="828" t="s">
        <v>2273</v>
      </c>
      <c r="I575" s="717">
        <f t="shared" si="17"/>
        <v>32322.600000000002</v>
      </c>
      <c r="J575" s="717">
        <f t="shared" si="18"/>
        <v>21548.400000000001</v>
      </c>
      <c r="K575" s="717">
        <v>53871</v>
      </c>
    </row>
    <row r="576" spans="1:11" s="510" customFormat="1" ht="74.25" hidden="1" customHeight="1">
      <c r="A576" s="1020" t="s">
        <v>1766</v>
      </c>
      <c r="B576" s="1022"/>
      <c r="C576" s="714" t="s">
        <v>1722</v>
      </c>
      <c r="D576" s="714">
        <v>60</v>
      </c>
      <c r="E576" s="714" t="s">
        <v>1723</v>
      </c>
      <c r="F576" s="1044" t="s">
        <v>2231</v>
      </c>
      <c r="G576" s="1047">
        <v>8100</v>
      </c>
      <c r="H576" s="1099" t="s">
        <v>2273</v>
      </c>
      <c r="I576" s="717">
        <f t="shared" si="17"/>
        <v>32400</v>
      </c>
      <c r="J576" s="717">
        <f t="shared" si="18"/>
        <v>21600</v>
      </c>
      <c r="K576" s="717">
        <v>54000</v>
      </c>
    </row>
    <row r="577" spans="1:11" s="510" customFormat="1" ht="74.25" hidden="1" customHeight="1">
      <c r="A577" s="1020" t="s">
        <v>1767</v>
      </c>
      <c r="B577" s="1022"/>
      <c r="C577" s="714" t="s">
        <v>1724</v>
      </c>
      <c r="D577" s="714">
        <v>10</v>
      </c>
      <c r="E577" s="714" t="s">
        <v>1723</v>
      </c>
      <c r="F577" s="1045"/>
      <c r="G577" s="1048"/>
      <c r="H577" s="1100"/>
      <c r="I577" s="717">
        <f t="shared" si="17"/>
        <v>33000</v>
      </c>
      <c r="J577" s="717">
        <f t="shared" si="18"/>
        <v>22000</v>
      </c>
      <c r="K577" s="717">
        <v>55000</v>
      </c>
    </row>
    <row r="578" spans="1:11" s="510" customFormat="1" ht="74.25" hidden="1" customHeight="1">
      <c r="A578" s="1020" t="s">
        <v>1768</v>
      </c>
      <c r="B578" s="1022"/>
      <c r="C578" s="714" t="s">
        <v>1725</v>
      </c>
      <c r="D578" s="714">
        <v>10</v>
      </c>
      <c r="E578" s="714" t="s">
        <v>1726</v>
      </c>
      <c r="F578" s="1046"/>
      <c r="G578" s="1049"/>
      <c r="H578" s="1101"/>
      <c r="I578" s="717">
        <f t="shared" si="17"/>
        <v>13200</v>
      </c>
      <c r="J578" s="717">
        <f t="shared" si="18"/>
        <v>8800</v>
      </c>
      <c r="K578" s="717">
        <v>22000</v>
      </c>
    </row>
    <row r="579" spans="1:11" s="510" customFormat="1" ht="74.25" hidden="1" customHeight="1">
      <c r="A579" s="753"/>
      <c r="B579" s="753"/>
      <c r="C579" s="754"/>
      <c r="D579" s="754"/>
      <c r="E579" s="754"/>
      <c r="F579" s="755"/>
      <c r="G579" s="758"/>
      <c r="H579" s="756"/>
      <c r="I579" s="757"/>
      <c r="J579" s="757"/>
      <c r="K579" s="757"/>
    </row>
    <row r="580" spans="1:11" s="510" customFormat="1" ht="74.25" hidden="1" customHeight="1">
      <c r="A580" s="753"/>
      <c r="B580" s="753"/>
      <c r="C580" s="754"/>
      <c r="D580" s="754"/>
      <c r="E580" s="754"/>
      <c r="F580" s="755"/>
      <c r="G580" s="758"/>
      <c r="H580" s="756"/>
      <c r="I580" s="757"/>
      <c r="J580" s="757"/>
      <c r="K580" s="757"/>
    </row>
    <row r="581" spans="1:11" s="510" customFormat="1" ht="74.25" hidden="1" customHeight="1">
      <c r="A581" s="753"/>
      <c r="B581" s="753"/>
      <c r="C581" s="754"/>
      <c r="D581" s="754"/>
      <c r="E581" s="754"/>
      <c r="F581" s="755"/>
      <c r="G581" s="758"/>
      <c r="H581" s="756"/>
      <c r="I581" s="757"/>
      <c r="J581" s="757"/>
      <c r="K581" s="757"/>
    </row>
    <row r="582" spans="1:11" s="510" customFormat="1" ht="74.25" hidden="1" customHeight="1">
      <c r="A582" s="753"/>
      <c r="B582" s="753"/>
      <c r="C582" s="754"/>
      <c r="D582" s="754"/>
      <c r="E582" s="754"/>
      <c r="F582" s="755"/>
      <c r="G582" s="758"/>
      <c r="H582" s="756"/>
      <c r="I582" s="757"/>
      <c r="J582" s="757"/>
      <c r="K582" s="757"/>
    </row>
    <row r="583" spans="1:11" s="510" customFormat="1" ht="74.25" hidden="1" customHeight="1">
      <c r="A583" s="753"/>
      <c r="B583" s="753"/>
      <c r="C583" s="754"/>
      <c r="D583" s="754"/>
      <c r="E583" s="754"/>
      <c r="F583" s="755"/>
      <c r="G583" s="758"/>
      <c r="H583" s="756"/>
      <c r="I583" s="757"/>
      <c r="J583" s="757"/>
      <c r="K583" s="757"/>
    </row>
    <row r="584" spans="1:11" s="510" customFormat="1" ht="74.25" hidden="1" customHeight="1">
      <c r="A584" s="753"/>
      <c r="B584" s="753"/>
      <c r="C584" s="754"/>
      <c r="D584" s="754"/>
      <c r="E584" s="754"/>
      <c r="F584" s="755"/>
      <c r="G584" s="758"/>
      <c r="H584" s="756"/>
      <c r="I584" s="757"/>
      <c r="J584" s="757"/>
      <c r="K584" s="757"/>
    </row>
    <row r="585" spans="1:11" s="510" customFormat="1" ht="74.25" hidden="1" customHeight="1">
      <c r="A585" s="753"/>
      <c r="B585" s="753"/>
      <c r="C585" s="754"/>
      <c r="D585" s="754"/>
      <c r="E585" s="754"/>
      <c r="F585" s="755"/>
      <c r="G585" s="758"/>
      <c r="H585" s="756"/>
      <c r="I585" s="757"/>
      <c r="J585" s="757"/>
      <c r="K585" s="757"/>
    </row>
    <row r="586" spans="1:11" s="510" customFormat="1" ht="74.25" hidden="1" customHeight="1">
      <c r="A586" s="753"/>
      <c r="B586" s="753"/>
      <c r="C586" s="754"/>
      <c r="D586" s="754"/>
      <c r="E586" s="754"/>
      <c r="F586" s="755"/>
      <c r="G586" s="758"/>
      <c r="H586" s="756"/>
      <c r="I586" s="757"/>
      <c r="J586" s="757"/>
      <c r="K586" s="757"/>
    </row>
    <row r="587" spans="1:11" s="510" customFormat="1" ht="74.25" hidden="1" customHeight="1">
      <c r="A587" s="753"/>
      <c r="B587" s="753"/>
      <c r="C587" s="754"/>
      <c r="D587" s="754"/>
      <c r="E587" s="754"/>
      <c r="F587" s="755"/>
      <c r="G587" s="758"/>
      <c r="H587" s="756"/>
      <c r="I587" s="757"/>
      <c r="J587" s="757"/>
      <c r="K587" s="757"/>
    </row>
    <row r="588" spans="1:11" s="510" customFormat="1" ht="74.25" hidden="1" customHeight="1">
      <c r="A588" s="753"/>
      <c r="B588" s="753"/>
      <c r="C588" s="754"/>
      <c r="D588" s="754"/>
      <c r="E588" s="754"/>
      <c r="F588" s="755"/>
      <c r="G588" s="758"/>
      <c r="H588" s="756"/>
      <c r="I588" s="757"/>
      <c r="J588" s="757"/>
      <c r="K588" s="757"/>
    </row>
    <row r="589" spans="1:11" s="510" customFormat="1" ht="74.25" hidden="1" customHeight="1">
      <c r="A589" s="753"/>
      <c r="B589" s="753"/>
      <c r="C589" s="754"/>
      <c r="D589" s="754"/>
      <c r="E589" s="754"/>
      <c r="F589" s="755"/>
      <c r="G589" s="758"/>
      <c r="H589" s="756"/>
      <c r="I589" s="757"/>
      <c r="J589" s="757"/>
      <c r="K589" s="757"/>
    </row>
    <row r="590" spans="1:11" s="510" customFormat="1" ht="74.25" hidden="1" customHeight="1">
      <c r="A590" s="753"/>
      <c r="B590" s="753"/>
      <c r="C590" s="754"/>
      <c r="D590" s="754"/>
      <c r="E590" s="754"/>
      <c r="F590" s="755"/>
      <c r="G590" s="758"/>
      <c r="H590" s="756"/>
      <c r="I590" s="757"/>
      <c r="J590" s="757"/>
      <c r="K590" s="757"/>
    </row>
    <row r="591" spans="1:11" ht="34.5" hidden="1" customHeight="1">
      <c r="A591" s="1128" t="s">
        <v>51</v>
      </c>
      <c r="B591" s="1128"/>
      <c r="C591" s="1128"/>
      <c r="D591" s="1128"/>
      <c r="E591" s="1128"/>
      <c r="F591" s="1128"/>
      <c r="G591" s="1128"/>
      <c r="H591" s="1128"/>
      <c r="I591" s="1128"/>
      <c r="J591" s="1128"/>
      <c r="K591" s="1128"/>
    </row>
    <row r="592" spans="1:11" ht="30.75" hidden="1" customHeight="1">
      <c r="A592" s="1128" t="s">
        <v>52</v>
      </c>
      <c r="B592" s="1128"/>
      <c r="C592" s="1128"/>
      <c r="D592" s="1128"/>
      <c r="E592" s="1128"/>
      <c r="F592" s="1128"/>
      <c r="G592" s="1128"/>
      <c r="H592" s="1128"/>
      <c r="I592" s="1128"/>
      <c r="J592" s="1128"/>
      <c r="K592" s="1128"/>
    </row>
    <row r="593" spans="1:11" ht="33" hidden="1" customHeight="1">
      <c r="A593" s="1132" t="s">
        <v>50</v>
      </c>
      <c r="B593" s="1132"/>
      <c r="C593" s="1132"/>
      <c r="D593" s="1132"/>
      <c r="E593" s="1132"/>
      <c r="F593" s="1132"/>
      <c r="G593" s="1132"/>
      <c r="H593" s="1132"/>
      <c r="I593" s="1132"/>
      <c r="J593" s="1132"/>
      <c r="K593" s="1132"/>
    </row>
    <row r="594" spans="1:11" ht="33" hidden="1" customHeight="1">
      <c r="A594" s="154"/>
      <c r="B594" s="154"/>
      <c r="C594" s="154"/>
      <c r="D594" s="154"/>
      <c r="E594" s="154"/>
      <c r="F594" s="154"/>
      <c r="G594" s="707"/>
      <c r="H594" s="707"/>
      <c r="I594" s="707"/>
      <c r="J594" s="707"/>
      <c r="K594" s="707"/>
    </row>
    <row r="595" spans="1:11" ht="35.25" hidden="1">
      <c r="A595" s="1128" t="s">
        <v>1336</v>
      </c>
      <c r="B595" s="1128"/>
      <c r="C595" s="1128"/>
      <c r="D595" s="1128"/>
      <c r="E595" s="1128"/>
      <c r="F595" s="1128"/>
      <c r="G595" s="1128"/>
      <c r="H595" s="1128"/>
      <c r="I595" s="1128"/>
      <c r="J595" s="1128"/>
      <c r="K595" s="1128"/>
    </row>
    <row r="596" spans="1:11" s="620" customFormat="1" ht="33" hidden="1">
      <c r="A596" s="65"/>
      <c r="B596" s="65"/>
      <c r="C596" s="65"/>
      <c r="D596" s="65"/>
      <c r="E596" s="65"/>
      <c r="F596" s="65"/>
      <c r="G596" s="68"/>
      <c r="H596" s="68"/>
      <c r="I596" s="68"/>
      <c r="J596" s="68"/>
      <c r="K596" s="68"/>
    </row>
    <row r="597" spans="1:11" ht="20.100000000000001" hidden="1" customHeight="1">
      <c r="A597" s="65"/>
      <c r="B597" s="65"/>
      <c r="C597" s="65"/>
      <c r="D597" s="65"/>
      <c r="E597" s="65"/>
      <c r="F597" s="65"/>
      <c r="G597" s="68"/>
      <c r="H597" s="68"/>
      <c r="I597" s="68"/>
      <c r="J597" s="68"/>
      <c r="K597" s="68"/>
    </row>
    <row r="598" spans="1:11" ht="20.100000000000001" hidden="1" customHeight="1">
      <c r="A598" s="979"/>
      <c r="B598" s="979"/>
      <c r="C598" s="979"/>
      <c r="D598" s="979"/>
      <c r="E598" s="979"/>
      <c r="F598" s="979"/>
      <c r="G598" s="979"/>
      <c r="H598" s="979"/>
      <c r="I598" s="979"/>
      <c r="J598" s="979"/>
      <c r="K598" s="979"/>
    </row>
    <row r="599" spans="1:11" ht="45.75" hidden="1" customHeight="1">
      <c r="A599" s="1030" t="s">
        <v>1381</v>
      </c>
      <c r="B599" s="1030"/>
      <c r="C599" s="1030"/>
      <c r="D599" s="1030"/>
      <c r="E599" s="1030"/>
      <c r="F599" s="1030"/>
      <c r="G599" s="1030"/>
      <c r="H599" s="1030"/>
      <c r="I599" s="1030"/>
      <c r="J599" s="1030"/>
      <c r="K599" s="1030"/>
    </row>
    <row r="600" spans="1:11" ht="66" hidden="1" customHeight="1">
      <c r="A600" s="1031" t="s">
        <v>37</v>
      </c>
      <c r="B600" s="1033"/>
      <c r="C600" s="1037" t="s">
        <v>178</v>
      </c>
      <c r="D600" s="1037" t="s">
        <v>179</v>
      </c>
      <c r="E600" s="1037" t="s">
        <v>1521</v>
      </c>
      <c r="F600" s="1037" t="s">
        <v>14</v>
      </c>
      <c r="G600" s="1037" t="s">
        <v>1515</v>
      </c>
      <c r="H600" s="1037" t="s">
        <v>16</v>
      </c>
      <c r="I600" s="1039" t="s">
        <v>1490</v>
      </c>
      <c r="J600" s="1039" t="s">
        <v>2203</v>
      </c>
      <c r="K600" s="1037" t="s">
        <v>200</v>
      </c>
    </row>
    <row r="601" spans="1:11" s="500" customFormat="1" ht="30" hidden="1">
      <c r="A601" s="1034"/>
      <c r="B601" s="1036"/>
      <c r="C601" s="1038"/>
      <c r="D601" s="1038"/>
      <c r="E601" s="1038"/>
      <c r="F601" s="1038"/>
      <c r="G601" s="1038"/>
      <c r="H601" s="1038"/>
      <c r="I601" s="1039"/>
      <c r="J601" s="1039"/>
      <c r="K601" s="1038"/>
    </row>
    <row r="602" spans="1:11" s="500" customFormat="1" ht="74.25" hidden="1" customHeight="1">
      <c r="A602" s="1102" t="s">
        <v>1844</v>
      </c>
      <c r="B602" s="1103"/>
      <c r="C602" s="729"/>
      <c r="D602" s="729"/>
      <c r="E602" s="726"/>
      <c r="F602" s="727"/>
      <c r="G602" s="728"/>
      <c r="H602" s="728"/>
      <c r="I602" s="642">
        <f>I608+I619+I603+I617</f>
        <v>113415.6</v>
      </c>
      <c r="J602" s="642">
        <f>J608+J619+J603+J617</f>
        <v>75610.399999999994</v>
      </c>
      <c r="K602" s="642">
        <f>I602+J602</f>
        <v>189026</v>
      </c>
    </row>
    <row r="603" spans="1:11" s="579" customFormat="1" ht="73.5" hidden="1" customHeight="1">
      <c r="A603" s="1011" t="s">
        <v>2251</v>
      </c>
      <c r="B603" s="1012"/>
      <c r="C603" s="1012"/>
      <c r="D603" s="1012"/>
      <c r="E603" s="1012"/>
      <c r="F603" s="1013"/>
      <c r="G603" s="709"/>
      <c r="H603" s="710"/>
      <c r="I603" s="545">
        <f>SUM(I604:I607)</f>
        <v>54003</v>
      </c>
      <c r="J603" s="545">
        <f>SUM(J604:J607)</f>
        <v>36002</v>
      </c>
      <c r="K603" s="545">
        <f>I603+J603</f>
        <v>90005</v>
      </c>
    </row>
    <row r="604" spans="1:11" s="510" customFormat="1" ht="74.25" hidden="1" customHeight="1">
      <c r="A604" s="1020" t="s">
        <v>1849</v>
      </c>
      <c r="B604" s="1022"/>
      <c r="C604" s="714" t="s">
        <v>147</v>
      </c>
      <c r="D604" s="714">
        <v>36</v>
      </c>
      <c r="E604" s="714" t="s">
        <v>1845</v>
      </c>
      <c r="F604" s="1044" t="s">
        <v>2259</v>
      </c>
      <c r="G604" s="1047">
        <v>8100</v>
      </c>
      <c r="H604" s="1099" t="s">
        <v>2273</v>
      </c>
      <c r="I604" s="717">
        <f>K604/100*60</f>
        <v>10305</v>
      </c>
      <c r="J604" s="717">
        <f>K604/100*40</f>
        <v>6870</v>
      </c>
      <c r="K604" s="717">
        <v>17175</v>
      </c>
    </row>
    <row r="605" spans="1:11" s="510" customFormat="1" ht="74.25" hidden="1" customHeight="1">
      <c r="A605" s="1020" t="s">
        <v>1850</v>
      </c>
      <c r="B605" s="1022"/>
      <c r="C605" s="714" t="s">
        <v>1846</v>
      </c>
      <c r="D605" s="714">
        <v>47</v>
      </c>
      <c r="E605" s="714" t="s">
        <v>1845</v>
      </c>
      <c r="F605" s="1045"/>
      <c r="G605" s="1048"/>
      <c r="H605" s="1100"/>
      <c r="I605" s="717">
        <f>K605/100*60</f>
        <v>9036</v>
      </c>
      <c r="J605" s="717">
        <f>K605/100*40</f>
        <v>6024</v>
      </c>
      <c r="K605" s="717">
        <v>15060</v>
      </c>
    </row>
    <row r="606" spans="1:11" s="510" customFormat="1" ht="74.25" hidden="1" customHeight="1">
      <c r="A606" s="1020" t="s">
        <v>1851</v>
      </c>
      <c r="B606" s="1022"/>
      <c r="C606" s="714" t="s">
        <v>1846</v>
      </c>
      <c r="D606" s="714">
        <v>45</v>
      </c>
      <c r="E606" s="714" t="s">
        <v>1845</v>
      </c>
      <c r="F606" s="1045"/>
      <c r="G606" s="1048"/>
      <c r="H606" s="1100"/>
      <c r="I606" s="717">
        <f>K606/100*60</f>
        <v>31662.000000000004</v>
      </c>
      <c r="J606" s="717">
        <f>K606/100*40</f>
        <v>21108</v>
      </c>
      <c r="K606" s="717">
        <v>52770</v>
      </c>
    </row>
    <row r="607" spans="1:11" s="510" customFormat="1" ht="74.25" hidden="1" customHeight="1">
      <c r="A607" s="1020" t="s">
        <v>1852</v>
      </c>
      <c r="B607" s="1022"/>
      <c r="C607" s="714" t="s">
        <v>1847</v>
      </c>
      <c r="D607" s="714">
        <v>3</v>
      </c>
      <c r="E607" s="714" t="s">
        <v>1848</v>
      </c>
      <c r="F607" s="1046"/>
      <c r="G607" s="1049"/>
      <c r="H607" s="1101"/>
      <c r="I607" s="717">
        <f>K607/100*60</f>
        <v>3000</v>
      </c>
      <c r="J607" s="717">
        <f>K607/100*40</f>
        <v>2000</v>
      </c>
      <c r="K607" s="717">
        <v>5000</v>
      </c>
    </row>
    <row r="608" spans="1:11" ht="75" hidden="1" customHeight="1">
      <c r="A608" s="1011" t="s">
        <v>1541</v>
      </c>
      <c r="B608" s="1013"/>
      <c r="C608" s="709"/>
      <c r="D608" s="709"/>
      <c r="E608" s="709"/>
      <c r="F608" s="708"/>
      <c r="G608" s="709"/>
      <c r="H608" s="710"/>
      <c r="I608" s="545">
        <f>SUM(I609:I616)</f>
        <v>48394.8</v>
      </c>
      <c r="J608" s="545">
        <f>SUM(J609:J616)</f>
        <v>32263.199999999997</v>
      </c>
      <c r="K608" s="545">
        <f>I608+J608</f>
        <v>80658</v>
      </c>
    </row>
    <row r="609" spans="1:11" s="510" customFormat="1" ht="75" hidden="1" customHeight="1">
      <c r="A609" s="1020" t="s">
        <v>1865</v>
      </c>
      <c r="B609" s="1022"/>
      <c r="C609" s="714" t="s">
        <v>1855</v>
      </c>
      <c r="D609" s="714">
        <v>3</v>
      </c>
      <c r="E609" s="714" t="s">
        <v>1856</v>
      </c>
      <c r="F609" s="829" t="s">
        <v>2229</v>
      </c>
      <c r="G609" s="1047">
        <v>8100</v>
      </c>
      <c r="H609" s="1099" t="s">
        <v>2273</v>
      </c>
      <c r="I609" s="717">
        <f t="shared" ref="I609:I616" si="19">K609/100*60</f>
        <v>4800</v>
      </c>
      <c r="J609" s="717">
        <f t="shared" ref="J609:J616" si="20">K609/100*40</f>
        <v>3200</v>
      </c>
      <c r="K609" s="717">
        <v>8000</v>
      </c>
    </row>
    <row r="610" spans="1:11" s="510" customFormat="1" ht="74.25" hidden="1" customHeight="1">
      <c r="A610" s="1020" t="s">
        <v>1866</v>
      </c>
      <c r="B610" s="1022"/>
      <c r="C610" s="714" t="s">
        <v>1853</v>
      </c>
      <c r="D610" s="714">
        <v>5</v>
      </c>
      <c r="E610" s="714" t="s">
        <v>1854</v>
      </c>
      <c r="F610" s="829" t="s">
        <v>2230</v>
      </c>
      <c r="G610" s="1048"/>
      <c r="H610" s="1100"/>
      <c r="I610" s="717">
        <f t="shared" si="19"/>
        <v>8960.4</v>
      </c>
      <c r="J610" s="717">
        <f t="shared" si="20"/>
        <v>5973.6</v>
      </c>
      <c r="K610" s="717">
        <v>14934</v>
      </c>
    </row>
    <row r="611" spans="1:11" s="510" customFormat="1" ht="75" hidden="1" customHeight="1">
      <c r="A611" s="1020" t="s">
        <v>1867</v>
      </c>
      <c r="B611" s="1022"/>
      <c r="C611" s="714" t="s">
        <v>1857</v>
      </c>
      <c r="D611" s="714">
        <v>12</v>
      </c>
      <c r="E611" s="714" t="s">
        <v>1858</v>
      </c>
      <c r="F611" s="1044" t="s">
        <v>2231</v>
      </c>
      <c r="G611" s="1048"/>
      <c r="H611" s="1100"/>
      <c r="I611" s="717">
        <f t="shared" si="19"/>
        <v>2100</v>
      </c>
      <c r="J611" s="717">
        <f t="shared" si="20"/>
        <v>1400</v>
      </c>
      <c r="K611" s="717">
        <v>3500</v>
      </c>
    </row>
    <row r="612" spans="1:11" s="510" customFormat="1" ht="75" hidden="1" customHeight="1">
      <c r="A612" s="1020" t="s">
        <v>1868</v>
      </c>
      <c r="B612" s="1022"/>
      <c r="C612" s="714" t="s">
        <v>1859</v>
      </c>
      <c r="D612" s="714">
        <v>1</v>
      </c>
      <c r="E612" s="714" t="s">
        <v>1860</v>
      </c>
      <c r="F612" s="1045"/>
      <c r="G612" s="1048"/>
      <c r="H612" s="1100"/>
      <c r="I612" s="717">
        <f t="shared" si="19"/>
        <v>12660</v>
      </c>
      <c r="J612" s="717">
        <f t="shared" si="20"/>
        <v>8440</v>
      </c>
      <c r="K612" s="717">
        <v>21100</v>
      </c>
    </row>
    <row r="613" spans="1:11" s="510" customFormat="1" ht="75" hidden="1" customHeight="1">
      <c r="A613" s="1020" t="s">
        <v>1869</v>
      </c>
      <c r="B613" s="1022"/>
      <c r="C613" s="714" t="s">
        <v>1861</v>
      </c>
      <c r="D613" s="714">
        <v>16</v>
      </c>
      <c r="E613" s="714" t="s">
        <v>1862</v>
      </c>
      <c r="F613" s="1045"/>
      <c r="G613" s="1048"/>
      <c r="H613" s="1100"/>
      <c r="I613" s="717">
        <f t="shared" si="19"/>
        <v>7200</v>
      </c>
      <c r="J613" s="717">
        <f t="shared" si="20"/>
        <v>4800</v>
      </c>
      <c r="K613" s="717">
        <v>12000</v>
      </c>
    </row>
    <row r="614" spans="1:11" s="510" customFormat="1" ht="75" hidden="1" customHeight="1">
      <c r="A614" s="1020" t="s">
        <v>1870</v>
      </c>
      <c r="B614" s="1022"/>
      <c r="C614" s="714" t="s">
        <v>1853</v>
      </c>
      <c r="D614" s="714">
        <v>5</v>
      </c>
      <c r="E614" s="714" t="s">
        <v>1854</v>
      </c>
      <c r="F614" s="1045"/>
      <c r="G614" s="1048"/>
      <c r="H614" s="1100"/>
      <c r="I614" s="717">
        <f t="shared" si="19"/>
        <v>900</v>
      </c>
      <c r="J614" s="717">
        <f t="shared" si="20"/>
        <v>600</v>
      </c>
      <c r="K614" s="717">
        <v>1500</v>
      </c>
    </row>
    <row r="615" spans="1:11" s="510" customFormat="1" ht="75" hidden="1" customHeight="1">
      <c r="A615" s="1020" t="s">
        <v>1871</v>
      </c>
      <c r="B615" s="1022"/>
      <c r="C615" s="714" t="s">
        <v>1863</v>
      </c>
      <c r="D615" s="714">
        <v>3</v>
      </c>
      <c r="E615" s="714" t="s">
        <v>1864</v>
      </c>
      <c r="F615" s="1045"/>
      <c r="G615" s="1048"/>
      <c r="H615" s="1100"/>
      <c r="I615" s="717">
        <f t="shared" si="19"/>
        <v>7574.4</v>
      </c>
      <c r="J615" s="717">
        <f t="shared" si="20"/>
        <v>5049.5999999999995</v>
      </c>
      <c r="K615" s="717">
        <v>12624</v>
      </c>
    </row>
    <row r="616" spans="1:11" s="510" customFormat="1" ht="75" hidden="1" customHeight="1">
      <c r="A616" s="1020" t="s">
        <v>1872</v>
      </c>
      <c r="B616" s="1022"/>
      <c r="C616" s="714" t="s">
        <v>1861</v>
      </c>
      <c r="D616" s="714">
        <v>16</v>
      </c>
      <c r="E616" s="714" t="s">
        <v>1862</v>
      </c>
      <c r="F616" s="1046"/>
      <c r="G616" s="1049"/>
      <c r="H616" s="1101"/>
      <c r="I616" s="717">
        <f t="shared" si="19"/>
        <v>4200</v>
      </c>
      <c r="J616" s="717">
        <f t="shared" si="20"/>
        <v>2800</v>
      </c>
      <c r="K616" s="717">
        <v>7000</v>
      </c>
    </row>
    <row r="617" spans="1:11" ht="74.25" hidden="1" customHeight="1">
      <c r="A617" s="1011" t="s">
        <v>278</v>
      </c>
      <c r="B617" s="1013"/>
      <c r="C617" s="504"/>
      <c r="D617" s="709"/>
      <c r="E617" s="709"/>
      <c r="F617" s="708"/>
      <c r="G617" s="709"/>
      <c r="H617" s="710"/>
      <c r="I617" s="545">
        <f>SUM(I618)</f>
        <v>3900</v>
      </c>
      <c r="J617" s="545">
        <f>SUM(J618)</f>
        <v>2600</v>
      </c>
      <c r="K617" s="545">
        <f>I617+J617</f>
        <v>6500</v>
      </c>
    </row>
    <row r="618" spans="1:11" s="510" customFormat="1" ht="74.25" hidden="1" customHeight="1">
      <c r="A618" s="1020" t="s">
        <v>1873</v>
      </c>
      <c r="B618" s="1022"/>
      <c r="C618" s="714" t="s">
        <v>1215</v>
      </c>
      <c r="D618" s="714">
        <v>3</v>
      </c>
      <c r="E618" s="725" t="s">
        <v>1874</v>
      </c>
      <c r="F618" s="833" t="s">
        <v>2234</v>
      </c>
      <c r="G618" s="835">
        <v>8100</v>
      </c>
      <c r="H618" s="834" t="s">
        <v>2445</v>
      </c>
      <c r="I618" s="717">
        <f>K618/100*60</f>
        <v>3900</v>
      </c>
      <c r="J618" s="717">
        <f>K618/100*40</f>
        <v>2600</v>
      </c>
      <c r="K618" s="717">
        <v>6500</v>
      </c>
    </row>
    <row r="619" spans="1:11" ht="73.5" hidden="1" customHeight="1">
      <c r="A619" s="1011" t="s">
        <v>312</v>
      </c>
      <c r="B619" s="1013"/>
      <c r="C619" s="709"/>
      <c r="D619" s="709"/>
      <c r="E619" s="709"/>
      <c r="F619" s="708"/>
      <c r="G619" s="709"/>
      <c r="H619" s="710"/>
      <c r="I619" s="545">
        <f>SUM(I620:I621)</f>
        <v>7117.7999999999993</v>
      </c>
      <c r="J619" s="545">
        <f>SUM(J620:J621)</f>
        <v>4745.2</v>
      </c>
      <c r="K619" s="545">
        <f>I619+J619</f>
        <v>11863</v>
      </c>
    </row>
    <row r="620" spans="1:11" s="510" customFormat="1" ht="74.25" hidden="1" customHeight="1">
      <c r="A620" s="1020" t="s">
        <v>1875</v>
      </c>
      <c r="B620" s="1022"/>
      <c r="C620" s="714" t="s">
        <v>1623</v>
      </c>
      <c r="D620" s="714">
        <v>8</v>
      </c>
      <c r="E620" s="714" t="s">
        <v>1877</v>
      </c>
      <c r="F620" s="1044" t="s">
        <v>2224</v>
      </c>
      <c r="G620" s="1047">
        <v>8100</v>
      </c>
      <c r="H620" s="1099" t="s">
        <v>2273</v>
      </c>
      <c r="I620" s="717">
        <f>K620/100*60</f>
        <v>1710</v>
      </c>
      <c r="J620" s="717">
        <f>K620/100*40</f>
        <v>1140</v>
      </c>
      <c r="K620" s="717">
        <v>2850</v>
      </c>
    </row>
    <row r="621" spans="1:11" s="510" customFormat="1" ht="74.25" hidden="1" customHeight="1">
      <c r="A621" s="1020" t="s">
        <v>1876</v>
      </c>
      <c r="B621" s="1022"/>
      <c r="C621" s="714" t="s">
        <v>1861</v>
      </c>
      <c r="D621" s="714">
        <v>15</v>
      </c>
      <c r="E621" s="714" t="s">
        <v>1878</v>
      </c>
      <c r="F621" s="1046"/>
      <c r="G621" s="1049"/>
      <c r="H621" s="1101"/>
      <c r="I621" s="717">
        <f>K621/100*60</f>
        <v>5407.7999999999993</v>
      </c>
      <c r="J621" s="717">
        <f>K621/100*40</f>
        <v>3605.2</v>
      </c>
      <c r="K621" s="717">
        <v>9013</v>
      </c>
    </row>
    <row r="622" spans="1:11" ht="96" hidden="1" customHeight="1">
      <c r="A622" s="1141"/>
      <c r="B622" s="1141"/>
      <c r="C622" s="1141"/>
      <c r="D622" s="1141"/>
      <c r="E622" s="1141"/>
      <c r="F622" s="1141"/>
      <c r="G622" s="1141"/>
      <c r="H622" s="1141"/>
      <c r="I622" s="1141"/>
      <c r="J622" s="1141"/>
      <c r="K622" s="1141"/>
    </row>
    <row r="623" spans="1:11" ht="54.75" hidden="1" customHeight="1">
      <c r="A623" s="528"/>
      <c r="B623" s="529"/>
      <c r="C623" s="529"/>
      <c r="D623" s="530"/>
      <c r="E623" s="531"/>
      <c r="F623" s="532"/>
      <c r="G623" s="533"/>
      <c r="H623" s="649"/>
      <c r="I623" s="535"/>
      <c r="J623" s="535"/>
      <c r="K623" s="535"/>
    </row>
    <row r="624" spans="1:11" ht="54.75" hidden="1" customHeight="1">
      <c r="A624" s="528"/>
      <c r="B624" s="529"/>
      <c r="C624" s="529"/>
      <c r="D624" s="530"/>
      <c r="E624" s="531"/>
      <c r="F624" s="532"/>
      <c r="G624" s="533"/>
      <c r="H624" s="649"/>
      <c r="I624" s="535"/>
      <c r="J624" s="535"/>
      <c r="K624" s="535"/>
    </row>
    <row r="625" spans="1:11" ht="54.75" hidden="1" customHeight="1">
      <c r="A625" s="528"/>
      <c r="B625" s="529"/>
      <c r="C625" s="529"/>
      <c r="D625" s="530"/>
      <c r="E625" s="531"/>
      <c r="F625" s="532"/>
      <c r="G625" s="533"/>
      <c r="H625" s="649"/>
      <c r="I625" s="535"/>
      <c r="J625" s="535"/>
      <c r="K625" s="535"/>
    </row>
    <row r="626" spans="1:11" ht="54.75" hidden="1" customHeight="1">
      <c r="A626" s="528"/>
      <c r="B626" s="529"/>
      <c r="C626" s="529"/>
      <c r="D626" s="530"/>
      <c r="E626" s="531"/>
      <c r="F626" s="532"/>
      <c r="G626" s="533"/>
      <c r="H626" s="649"/>
      <c r="I626" s="535"/>
      <c r="J626" s="535"/>
      <c r="K626" s="535"/>
    </row>
    <row r="627" spans="1:11" ht="54.75" hidden="1" customHeight="1">
      <c r="A627" s="528"/>
      <c r="B627" s="529"/>
      <c r="C627" s="529"/>
      <c r="D627" s="530"/>
      <c r="E627" s="531"/>
      <c r="F627" s="532"/>
      <c r="G627" s="533"/>
      <c r="H627" s="649"/>
      <c r="I627" s="535"/>
      <c r="J627" s="535"/>
      <c r="K627" s="535"/>
    </row>
    <row r="628" spans="1:11" ht="54.75" hidden="1" customHeight="1">
      <c r="A628" s="528"/>
      <c r="B628" s="529"/>
      <c r="C628" s="529"/>
      <c r="D628" s="530"/>
      <c r="E628" s="531"/>
      <c r="F628" s="532"/>
      <c r="G628" s="533"/>
      <c r="H628" s="649"/>
      <c r="I628" s="535"/>
      <c r="J628" s="535"/>
      <c r="K628" s="535"/>
    </row>
    <row r="629" spans="1:11" ht="54.75" hidden="1" customHeight="1">
      <c r="A629" s="528"/>
      <c r="B629" s="529"/>
      <c r="C629" s="529"/>
      <c r="D629" s="530"/>
      <c r="E629" s="531"/>
      <c r="F629" s="532"/>
      <c r="G629" s="533"/>
      <c r="H629" s="649"/>
      <c r="I629" s="535"/>
      <c r="J629" s="535"/>
      <c r="K629" s="535"/>
    </row>
    <row r="630" spans="1:11" ht="54.75" hidden="1" customHeight="1">
      <c r="A630" s="528"/>
      <c r="B630" s="529"/>
      <c r="C630" s="529"/>
      <c r="D630" s="530"/>
      <c r="E630" s="531"/>
      <c r="F630" s="532"/>
      <c r="G630" s="533"/>
      <c r="H630" s="649"/>
      <c r="I630" s="535"/>
      <c r="J630" s="535"/>
      <c r="K630" s="535"/>
    </row>
    <row r="631" spans="1:11" ht="54.75" hidden="1" customHeight="1">
      <c r="A631" s="528"/>
      <c r="B631" s="529"/>
      <c r="C631" s="529"/>
      <c r="D631" s="530"/>
      <c r="E631" s="531"/>
      <c r="F631" s="532"/>
      <c r="G631" s="533"/>
      <c r="H631" s="649"/>
      <c r="I631" s="535"/>
      <c r="J631" s="535"/>
      <c r="K631" s="535"/>
    </row>
    <row r="632" spans="1:11" ht="54.75" hidden="1" customHeight="1">
      <c r="A632" s="528"/>
      <c r="B632" s="529"/>
      <c r="C632" s="529"/>
      <c r="D632" s="530"/>
      <c r="E632" s="531"/>
      <c r="F632" s="532"/>
      <c r="G632" s="533"/>
      <c r="H632" s="649"/>
      <c r="I632" s="535"/>
      <c r="J632" s="535"/>
      <c r="K632" s="535"/>
    </row>
    <row r="633" spans="1:11" ht="54.75" hidden="1" customHeight="1">
      <c r="A633" s="528"/>
      <c r="B633" s="529"/>
      <c r="C633" s="529"/>
      <c r="D633" s="530"/>
      <c r="E633" s="531"/>
      <c r="F633" s="532"/>
      <c r="G633" s="533"/>
      <c r="H633" s="649"/>
      <c r="I633" s="535"/>
      <c r="J633" s="535"/>
      <c r="K633" s="535"/>
    </row>
    <row r="634" spans="1:11" ht="54.75" hidden="1" customHeight="1">
      <c r="A634" s="528"/>
      <c r="B634" s="529"/>
      <c r="C634" s="529"/>
      <c r="D634" s="530"/>
      <c r="E634" s="531"/>
      <c r="F634" s="532"/>
      <c r="G634" s="533"/>
      <c r="H634" s="649"/>
      <c r="I634" s="535"/>
      <c r="J634" s="535"/>
      <c r="K634" s="535"/>
    </row>
    <row r="635" spans="1:11" ht="54.75" hidden="1" customHeight="1">
      <c r="A635" s="528"/>
      <c r="B635" s="529"/>
      <c r="C635" s="529"/>
      <c r="D635" s="530"/>
      <c r="E635" s="531"/>
      <c r="F635" s="532"/>
      <c r="G635" s="533"/>
      <c r="H635" s="649"/>
      <c r="I635" s="535"/>
      <c r="J635" s="535"/>
      <c r="K635" s="535"/>
    </row>
    <row r="636" spans="1:11" ht="34.5" hidden="1" customHeight="1">
      <c r="A636" s="1128" t="s">
        <v>51</v>
      </c>
      <c r="B636" s="1128"/>
      <c r="C636" s="1128"/>
      <c r="D636" s="1128"/>
      <c r="E636" s="1128"/>
      <c r="F636" s="1128"/>
      <c r="G636" s="1128"/>
      <c r="H636" s="1128"/>
      <c r="I636" s="1128"/>
      <c r="J636" s="1128"/>
      <c r="K636" s="1128"/>
    </row>
    <row r="637" spans="1:11" ht="30.75" hidden="1" customHeight="1">
      <c r="A637" s="1128" t="s">
        <v>52</v>
      </c>
      <c r="B637" s="1128"/>
      <c r="C637" s="1128"/>
      <c r="D637" s="1128"/>
      <c r="E637" s="1128"/>
      <c r="F637" s="1128"/>
      <c r="G637" s="1128"/>
      <c r="H637" s="1128"/>
      <c r="I637" s="1128"/>
      <c r="J637" s="1128"/>
      <c r="K637" s="1128"/>
    </row>
    <row r="638" spans="1:11" ht="33" hidden="1" customHeight="1">
      <c r="A638" s="1132" t="s">
        <v>50</v>
      </c>
      <c r="B638" s="1132"/>
      <c r="C638" s="1132"/>
      <c r="D638" s="1132"/>
      <c r="E638" s="1132"/>
      <c r="F638" s="1132"/>
      <c r="G638" s="1132"/>
      <c r="H638" s="1132"/>
      <c r="I638" s="1132"/>
      <c r="J638" s="1132"/>
      <c r="K638" s="1132"/>
    </row>
    <row r="639" spans="1:11" ht="33" hidden="1" customHeight="1">
      <c r="A639" s="154"/>
      <c r="B639" s="154"/>
      <c r="C639" s="154"/>
      <c r="D639" s="154"/>
      <c r="E639" s="154"/>
      <c r="F639" s="154"/>
      <c r="G639" s="707"/>
      <c r="H639" s="707"/>
      <c r="I639" s="707"/>
      <c r="J639" s="707"/>
      <c r="K639" s="707"/>
    </row>
    <row r="640" spans="1:11" ht="35.25" hidden="1">
      <c r="A640" s="1128" t="s">
        <v>1336</v>
      </c>
      <c r="B640" s="1128"/>
      <c r="C640" s="1128"/>
      <c r="D640" s="1128"/>
      <c r="E640" s="1128"/>
      <c r="F640" s="1128"/>
      <c r="G640" s="1128"/>
      <c r="H640" s="1128"/>
      <c r="I640" s="1128"/>
      <c r="J640" s="1128"/>
      <c r="K640" s="1128"/>
    </row>
    <row r="641" spans="1:11" s="620" customFormat="1" ht="33" hidden="1">
      <c r="A641" s="65"/>
      <c r="B641" s="65"/>
      <c r="C641" s="65"/>
      <c r="D641" s="65"/>
      <c r="E641" s="65"/>
      <c r="F641" s="65"/>
      <c r="G641" s="68"/>
      <c r="H641" s="68"/>
      <c r="I641" s="68"/>
      <c r="J641" s="68"/>
      <c r="K641" s="68"/>
    </row>
    <row r="642" spans="1:11" ht="20.100000000000001" hidden="1" customHeight="1">
      <c r="A642" s="65"/>
      <c r="B642" s="65"/>
      <c r="C642" s="65"/>
      <c r="D642" s="65"/>
      <c r="E642" s="65"/>
      <c r="F642" s="65"/>
      <c r="G642" s="68"/>
      <c r="H642" s="68"/>
      <c r="I642" s="68"/>
      <c r="J642" s="68"/>
      <c r="K642" s="68"/>
    </row>
    <row r="643" spans="1:11" ht="20.100000000000001" hidden="1" customHeight="1">
      <c r="A643" s="979"/>
      <c r="B643" s="979"/>
      <c r="C643" s="979"/>
      <c r="D643" s="979"/>
      <c r="E643" s="979"/>
      <c r="F643" s="979"/>
      <c r="G643" s="979"/>
      <c r="H643" s="979"/>
      <c r="I643" s="979"/>
      <c r="J643" s="979"/>
      <c r="K643" s="979"/>
    </row>
    <row r="644" spans="1:11" ht="45.75" hidden="1" customHeight="1">
      <c r="A644" s="1030" t="s">
        <v>1381</v>
      </c>
      <c r="B644" s="1030"/>
      <c r="C644" s="1030"/>
      <c r="D644" s="1030"/>
      <c r="E644" s="1030"/>
      <c r="F644" s="1030"/>
      <c r="G644" s="1030"/>
      <c r="H644" s="1030"/>
      <c r="I644" s="1030"/>
      <c r="J644" s="1030"/>
      <c r="K644" s="1030"/>
    </row>
    <row r="645" spans="1:11" ht="66" hidden="1" customHeight="1">
      <c r="A645" s="1031" t="s">
        <v>37</v>
      </c>
      <c r="B645" s="1033"/>
      <c r="C645" s="1037" t="s">
        <v>178</v>
      </c>
      <c r="D645" s="1037" t="s">
        <v>179</v>
      </c>
      <c r="E645" s="1037" t="s">
        <v>1521</v>
      </c>
      <c r="F645" s="1037" t="s">
        <v>14</v>
      </c>
      <c r="G645" s="1037" t="s">
        <v>1515</v>
      </c>
      <c r="H645" s="1037" t="s">
        <v>16</v>
      </c>
      <c r="I645" s="1039" t="s">
        <v>1490</v>
      </c>
      <c r="J645" s="1039" t="s">
        <v>2203</v>
      </c>
      <c r="K645" s="1037" t="s">
        <v>200</v>
      </c>
    </row>
    <row r="646" spans="1:11" s="500" customFormat="1" ht="30" hidden="1">
      <c r="A646" s="1034"/>
      <c r="B646" s="1036"/>
      <c r="C646" s="1038"/>
      <c r="D646" s="1038"/>
      <c r="E646" s="1038"/>
      <c r="F646" s="1038"/>
      <c r="G646" s="1038"/>
      <c r="H646" s="1038"/>
      <c r="I646" s="1039"/>
      <c r="J646" s="1039"/>
      <c r="K646" s="1038"/>
    </row>
    <row r="647" spans="1:11" s="500" customFormat="1" ht="74.25" hidden="1" customHeight="1">
      <c r="A647" s="1102" t="s">
        <v>1805</v>
      </c>
      <c r="B647" s="1103"/>
      <c r="C647" s="729"/>
      <c r="D647" s="729"/>
      <c r="E647" s="726"/>
      <c r="F647" s="727"/>
      <c r="G647" s="728"/>
      <c r="H647" s="728"/>
      <c r="I647" s="642">
        <f>I648+I654+I656+I659</f>
        <v>242085.19999999998</v>
      </c>
      <c r="J647" s="642">
        <f>J648+J654+J656+J659</f>
        <v>139238.79999999999</v>
      </c>
      <c r="K647" s="642">
        <f>I647+J647</f>
        <v>381324</v>
      </c>
    </row>
    <row r="648" spans="1:11" ht="75" hidden="1" customHeight="1">
      <c r="A648" s="1011" t="s">
        <v>1541</v>
      </c>
      <c r="B648" s="1013"/>
      <c r="C648" s="709"/>
      <c r="D648" s="709"/>
      <c r="E648" s="709"/>
      <c r="F648" s="708"/>
      <c r="G648" s="709"/>
      <c r="H648" s="710"/>
      <c r="I648" s="545">
        <f>SUM(I649:I653)</f>
        <v>21299.4</v>
      </c>
      <c r="J648" s="545">
        <f>SUM(J649:J653)</f>
        <v>14199.6</v>
      </c>
      <c r="K648" s="545">
        <f>I648+J648</f>
        <v>35499</v>
      </c>
    </row>
    <row r="649" spans="1:11" s="510" customFormat="1" ht="74.25" hidden="1" customHeight="1">
      <c r="A649" s="1020" t="s">
        <v>1806</v>
      </c>
      <c r="B649" s="1022"/>
      <c r="C649" s="714" t="s">
        <v>1813</v>
      </c>
      <c r="D649" s="714">
        <v>36</v>
      </c>
      <c r="E649" s="725" t="s">
        <v>1810</v>
      </c>
      <c r="F649" s="1044" t="s">
        <v>2229</v>
      </c>
      <c r="G649" s="1047">
        <v>8100</v>
      </c>
      <c r="H649" s="1099" t="s">
        <v>2273</v>
      </c>
      <c r="I649" s="717">
        <f>K649/100*60</f>
        <v>3600</v>
      </c>
      <c r="J649" s="717">
        <f>K649/100*40</f>
        <v>2400</v>
      </c>
      <c r="K649" s="717">
        <v>6000</v>
      </c>
    </row>
    <row r="650" spans="1:11" s="510" customFormat="1" ht="75" hidden="1" customHeight="1">
      <c r="A650" s="1020" t="s">
        <v>1807</v>
      </c>
      <c r="B650" s="1022"/>
      <c r="C650" s="714" t="s">
        <v>1814</v>
      </c>
      <c r="D650" s="714">
        <v>5</v>
      </c>
      <c r="E650" s="725" t="s">
        <v>1811</v>
      </c>
      <c r="F650" s="1045"/>
      <c r="G650" s="1048"/>
      <c r="H650" s="1100"/>
      <c r="I650" s="717">
        <f>K650/100*60</f>
        <v>1500</v>
      </c>
      <c r="J650" s="717">
        <f>K650/100*40</f>
        <v>1000</v>
      </c>
      <c r="K650" s="717">
        <v>2500</v>
      </c>
    </row>
    <row r="651" spans="1:11" s="510" customFormat="1" ht="75" hidden="1" customHeight="1">
      <c r="A651" s="1020" t="s">
        <v>506</v>
      </c>
      <c r="B651" s="1022"/>
      <c r="C651" s="714" t="s">
        <v>1816</v>
      </c>
      <c r="D651" s="744">
        <v>3</v>
      </c>
      <c r="E651" s="725" t="s">
        <v>1810</v>
      </c>
      <c r="F651" s="1046"/>
      <c r="G651" s="1048"/>
      <c r="H651" s="1100"/>
      <c r="I651" s="717">
        <f>K651/100*60</f>
        <v>3000</v>
      </c>
      <c r="J651" s="717">
        <f>K651/100*40</f>
        <v>2000</v>
      </c>
      <c r="K651" s="717">
        <v>5000</v>
      </c>
    </row>
    <row r="652" spans="1:11" s="510" customFormat="1" ht="75" hidden="1" customHeight="1">
      <c r="A652" s="1020" t="s">
        <v>1808</v>
      </c>
      <c r="B652" s="1022"/>
      <c r="C652" s="714" t="s">
        <v>1815</v>
      </c>
      <c r="D652" s="714">
        <v>1</v>
      </c>
      <c r="E652" s="725" t="s">
        <v>1812</v>
      </c>
      <c r="F652" s="1044" t="s">
        <v>2231</v>
      </c>
      <c r="G652" s="1048"/>
      <c r="H652" s="1100"/>
      <c r="I652" s="717">
        <f>K652/100*60</f>
        <v>4199.3999999999996</v>
      </c>
      <c r="J652" s="717">
        <f>K652/100*40</f>
        <v>2799.6</v>
      </c>
      <c r="K652" s="717">
        <v>6999</v>
      </c>
    </row>
    <row r="653" spans="1:11" s="510" customFormat="1" ht="75" hidden="1" customHeight="1">
      <c r="A653" s="1020" t="s">
        <v>1809</v>
      </c>
      <c r="B653" s="1022"/>
      <c r="C653" s="714" t="s">
        <v>1815</v>
      </c>
      <c r="D653" s="714">
        <v>3</v>
      </c>
      <c r="E653" s="725" t="s">
        <v>1812</v>
      </c>
      <c r="F653" s="1046"/>
      <c r="G653" s="1048"/>
      <c r="H653" s="1100"/>
      <c r="I653" s="717">
        <f>K653/100*60</f>
        <v>9000</v>
      </c>
      <c r="J653" s="717">
        <f>K653/100*40</f>
        <v>6000</v>
      </c>
      <c r="K653" s="717">
        <v>15000</v>
      </c>
    </row>
    <row r="654" spans="1:11" ht="74.25" hidden="1" customHeight="1">
      <c r="A654" s="1011" t="s">
        <v>278</v>
      </c>
      <c r="B654" s="1013"/>
      <c r="C654" s="504"/>
      <c r="D654" s="709"/>
      <c r="E654" s="709"/>
      <c r="F654" s="708"/>
      <c r="G654" s="709"/>
      <c r="H654" s="710"/>
      <c r="I654" s="545">
        <f>SUM(I655)</f>
        <v>4800</v>
      </c>
      <c r="J654" s="545">
        <f>SUM(J655)</f>
        <v>3200</v>
      </c>
      <c r="K654" s="545">
        <f>I654+J654</f>
        <v>8000</v>
      </c>
    </row>
    <row r="655" spans="1:11" s="510" customFormat="1" ht="74.25" hidden="1" customHeight="1">
      <c r="A655" s="1020" t="s">
        <v>1817</v>
      </c>
      <c r="B655" s="1022"/>
      <c r="C655" s="714" t="s">
        <v>1215</v>
      </c>
      <c r="D655" s="714">
        <v>6</v>
      </c>
      <c r="E655" s="725" t="s">
        <v>1818</v>
      </c>
      <c r="F655" s="833" t="s">
        <v>2234</v>
      </c>
      <c r="G655" s="835">
        <v>8100</v>
      </c>
      <c r="H655" s="834" t="s">
        <v>2445</v>
      </c>
      <c r="I655" s="717">
        <f>K655/100*60</f>
        <v>4800</v>
      </c>
      <c r="J655" s="717">
        <f>K655/100*40</f>
        <v>3200</v>
      </c>
      <c r="K655" s="717">
        <v>8000</v>
      </c>
    </row>
    <row r="656" spans="1:11" ht="73.5" hidden="1" customHeight="1">
      <c r="A656" s="1011" t="s">
        <v>312</v>
      </c>
      <c r="B656" s="1013"/>
      <c r="C656" s="709"/>
      <c r="D656" s="709"/>
      <c r="E656" s="709"/>
      <c r="F656" s="708"/>
      <c r="G656" s="709"/>
      <c r="H656" s="710"/>
      <c r="I656" s="545">
        <f>SUM(I657:I658)</f>
        <v>10500</v>
      </c>
      <c r="J656" s="545">
        <f>SUM(J657:J658)</f>
        <v>7000</v>
      </c>
      <c r="K656" s="545">
        <f>I656+J656</f>
        <v>17500</v>
      </c>
    </row>
    <row r="657" spans="1:13" s="510" customFormat="1" ht="74.25" hidden="1" customHeight="1">
      <c r="A657" s="1020" t="s">
        <v>1819</v>
      </c>
      <c r="B657" s="1022"/>
      <c r="C657" s="714" t="s">
        <v>1821</v>
      </c>
      <c r="D657" s="714">
        <v>3</v>
      </c>
      <c r="E657" s="725" t="s">
        <v>1810</v>
      </c>
      <c r="F657" s="1044" t="s">
        <v>2224</v>
      </c>
      <c r="G657" s="1047">
        <v>8100</v>
      </c>
      <c r="H657" s="1099" t="s">
        <v>2273</v>
      </c>
      <c r="I657" s="717">
        <f>K657/100*60</f>
        <v>3300</v>
      </c>
      <c r="J657" s="717">
        <f>K657/100*40</f>
        <v>2200</v>
      </c>
      <c r="K657" s="717">
        <v>5500</v>
      </c>
    </row>
    <row r="658" spans="1:13" s="510" customFormat="1" ht="74.25" hidden="1" customHeight="1">
      <c r="A658" s="1020" t="s">
        <v>1820</v>
      </c>
      <c r="B658" s="1022"/>
      <c r="C658" s="714" t="s">
        <v>1815</v>
      </c>
      <c r="D658" s="714">
        <v>2</v>
      </c>
      <c r="E658" s="725" t="s">
        <v>1812</v>
      </c>
      <c r="F658" s="1046"/>
      <c r="G658" s="1048"/>
      <c r="H658" s="1100"/>
      <c r="I658" s="717">
        <f>K658/100*60</f>
        <v>7200</v>
      </c>
      <c r="J658" s="717">
        <f>K658/100*40</f>
        <v>4800</v>
      </c>
      <c r="K658" s="717">
        <v>12000</v>
      </c>
    </row>
    <row r="659" spans="1:13" ht="73.5" hidden="1" customHeight="1">
      <c r="A659" s="1011" t="s">
        <v>821</v>
      </c>
      <c r="B659" s="1013"/>
      <c r="C659" s="709"/>
      <c r="D659" s="709"/>
      <c r="E659" s="709"/>
      <c r="F659" s="708"/>
      <c r="G659" s="709"/>
      <c r="H659" s="710"/>
      <c r="I659" s="545">
        <f>SUM(I660:I674)</f>
        <v>205485.8</v>
      </c>
      <c r="J659" s="545">
        <f>SUM(J660:J674)</f>
        <v>114839.2</v>
      </c>
      <c r="K659" s="545">
        <f>I659+J659</f>
        <v>320325</v>
      </c>
    </row>
    <row r="660" spans="1:13" s="510" customFormat="1" ht="74.25" hidden="1" customHeight="1">
      <c r="A660" s="1020" t="s">
        <v>1831</v>
      </c>
      <c r="B660" s="1022"/>
      <c r="C660" s="714" t="s">
        <v>1827</v>
      </c>
      <c r="D660" s="714">
        <v>2</v>
      </c>
      <c r="E660" s="725" t="s">
        <v>1818</v>
      </c>
      <c r="F660" s="1044" t="s">
        <v>2244</v>
      </c>
      <c r="G660" s="1047">
        <v>8100</v>
      </c>
      <c r="H660" s="1099" t="s">
        <v>2274</v>
      </c>
      <c r="I660" s="717">
        <f t="shared" ref="I660:I670" si="21">K660/100*60</f>
        <v>4800</v>
      </c>
      <c r="J660" s="717">
        <f t="shared" ref="J660:J670" si="22">K660/100*40</f>
        <v>3200</v>
      </c>
      <c r="K660" s="717">
        <v>8000</v>
      </c>
    </row>
    <row r="661" spans="1:13" s="510" customFormat="1" ht="74.25" hidden="1" customHeight="1">
      <c r="A661" s="1020" t="s">
        <v>1832</v>
      </c>
      <c r="B661" s="1022"/>
      <c r="C661" s="714" t="s">
        <v>1827</v>
      </c>
      <c r="D661" s="714">
        <v>12</v>
      </c>
      <c r="E661" s="725" t="s">
        <v>1818</v>
      </c>
      <c r="F661" s="1046"/>
      <c r="G661" s="1048"/>
      <c r="H661" s="1100"/>
      <c r="I661" s="717">
        <f t="shared" si="21"/>
        <v>18000</v>
      </c>
      <c r="J661" s="717">
        <f t="shared" si="22"/>
        <v>12000</v>
      </c>
      <c r="K661" s="717">
        <v>30000</v>
      </c>
    </row>
    <row r="662" spans="1:13" s="510" customFormat="1" ht="74.25" hidden="1" customHeight="1">
      <c r="A662" s="1020" t="s">
        <v>1833</v>
      </c>
      <c r="B662" s="1022"/>
      <c r="C662" s="714" t="s">
        <v>1822</v>
      </c>
      <c r="D662" s="714">
        <v>6</v>
      </c>
      <c r="E662" s="725" t="s">
        <v>1823</v>
      </c>
      <c r="F662" s="1044" t="s">
        <v>2243</v>
      </c>
      <c r="G662" s="1047">
        <v>8100</v>
      </c>
      <c r="H662" s="1099" t="s">
        <v>2274</v>
      </c>
      <c r="I662" s="717">
        <f>36000-9568</f>
        <v>26432</v>
      </c>
      <c r="J662" s="717">
        <f>24000-1736</f>
        <v>22264</v>
      </c>
      <c r="K662" s="717">
        <f>I662+J662</f>
        <v>48696</v>
      </c>
    </row>
    <row r="663" spans="1:13" s="510" customFormat="1" ht="74.25" hidden="1" customHeight="1">
      <c r="A663" s="1020" t="s">
        <v>1834</v>
      </c>
      <c r="B663" s="1022"/>
      <c r="C663" s="714" t="s">
        <v>1824</v>
      </c>
      <c r="D663" s="714">
        <v>4</v>
      </c>
      <c r="E663" s="725" t="s">
        <v>1823</v>
      </c>
      <c r="F663" s="1045"/>
      <c r="G663" s="1048"/>
      <c r="H663" s="1100"/>
      <c r="I663" s="717">
        <f t="shared" si="21"/>
        <v>33000</v>
      </c>
      <c r="J663" s="717">
        <f t="shared" si="22"/>
        <v>22000</v>
      </c>
      <c r="K663" s="717">
        <v>55000</v>
      </c>
    </row>
    <row r="664" spans="1:13" s="510" customFormat="1" ht="74.25" hidden="1" customHeight="1">
      <c r="A664" s="1020" t="s">
        <v>1835</v>
      </c>
      <c r="B664" s="1022"/>
      <c r="C664" s="714" t="s">
        <v>1824</v>
      </c>
      <c r="D664" s="714">
        <v>4</v>
      </c>
      <c r="E664" s="725" t="s">
        <v>1823</v>
      </c>
      <c r="F664" s="1045"/>
      <c r="G664" s="1048"/>
      <c r="H664" s="1100"/>
      <c r="I664" s="717">
        <f t="shared" si="21"/>
        <v>15262.8</v>
      </c>
      <c r="J664" s="717">
        <f t="shared" si="22"/>
        <v>10175.200000000001</v>
      </c>
      <c r="K664" s="717">
        <v>25438</v>
      </c>
    </row>
    <row r="665" spans="1:13" s="510" customFormat="1" ht="74.25" hidden="1" customHeight="1">
      <c r="A665" s="1020" t="s">
        <v>1836</v>
      </c>
      <c r="B665" s="1022"/>
      <c r="C665" s="714" t="s">
        <v>1824</v>
      </c>
      <c r="D665" s="714">
        <v>4</v>
      </c>
      <c r="E665" s="725" t="s">
        <v>1823</v>
      </c>
      <c r="F665" s="1045"/>
      <c r="G665" s="1048"/>
      <c r="H665" s="1100"/>
      <c r="I665" s="717">
        <f t="shared" si="21"/>
        <v>12000</v>
      </c>
      <c r="J665" s="717">
        <f t="shared" si="22"/>
        <v>8000</v>
      </c>
      <c r="K665" s="717">
        <v>20000</v>
      </c>
      <c r="M665" s="510">
        <v>9568</v>
      </c>
    </row>
    <row r="666" spans="1:13" s="510" customFormat="1" ht="74.25" hidden="1" customHeight="1">
      <c r="A666" s="1020" t="s">
        <v>1606</v>
      </c>
      <c r="B666" s="1022"/>
      <c r="C666" s="714" t="s">
        <v>1824</v>
      </c>
      <c r="D666" s="714">
        <v>6</v>
      </c>
      <c r="E666" s="725" t="s">
        <v>1830</v>
      </c>
      <c r="F666" s="1046"/>
      <c r="G666" s="1049"/>
      <c r="H666" s="1100"/>
      <c r="I666" s="717">
        <f t="shared" si="21"/>
        <v>6000</v>
      </c>
      <c r="J666" s="717">
        <f t="shared" si="22"/>
        <v>4000</v>
      </c>
      <c r="K666" s="717">
        <v>10000</v>
      </c>
    </row>
    <row r="667" spans="1:13" s="510" customFormat="1" ht="74.25" hidden="1" customHeight="1">
      <c r="A667" s="1020" t="s">
        <v>1837</v>
      </c>
      <c r="B667" s="1022"/>
      <c r="C667" s="714" t="s">
        <v>1824</v>
      </c>
      <c r="D667" s="714">
        <v>4</v>
      </c>
      <c r="E667" s="725" t="s">
        <v>1830</v>
      </c>
      <c r="F667" s="1104" t="s">
        <v>2242</v>
      </c>
      <c r="G667" s="1047">
        <v>8100</v>
      </c>
      <c r="H667" s="1140" t="s">
        <v>2274</v>
      </c>
      <c r="I667" s="717">
        <f t="shared" si="21"/>
        <v>4800</v>
      </c>
      <c r="J667" s="717">
        <f t="shared" si="22"/>
        <v>3200</v>
      </c>
      <c r="K667" s="717">
        <v>8000</v>
      </c>
    </row>
    <row r="668" spans="1:13" s="510" customFormat="1" ht="74.25" hidden="1" customHeight="1">
      <c r="A668" s="1020" t="s">
        <v>1838</v>
      </c>
      <c r="B668" s="1022"/>
      <c r="C668" s="714" t="s">
        <v>1825</v>
      </c>
      <c r="D668" s="714">
        <v>18</v>
      </c>
      <c r="E668" s="725" t="s">
        <v>1830</v>
      </c>
      <c r="F668" s="1104"/>
      <c r="G668" s="1048"/>
      <c r="H668" s="1140"/>
      <c r="I668" s="717">
        <f t="shared" si="21"/>
        <v>6000</v>
      </c>
      <c r="J668" s="717">
        <f t="shared" si="22"/>
        <v>4000</v>
      </c>
      <c r="K668" s="717">
        <v>10000</v>
      </c>
    </row>
    <row r="669" spans="1:13" s="510" customFormat="1" ht="74.25" hidden="1" customHeight="1">
      <c r="A669" s="1020" t="s">
        <v>1839</v>
      </c>
      <c r="B669" s="1022"/>
      <c r="C669" s="714" t="s">
        <v>1826</v>
      </c>
      <c r="D669" s="714">
        <v>10</v>
      </c>
      <c r="E669" s="725" t="s">
        <v>1830</v>
      </c>
      <c r="F669" s="1104"/>
      <c r="G669" s="1048"/>
      <c r="H669" s="1140"/>
      <c r="I669" s="717">
        <f t="shared" si="21"/>
        <v>12000</v>
      </c>
      <c r="J669" s="717">
        <f t="shared" si="22"/>
        <v>8000</v>
      </c>
      <c r="K669" s="717">
        <v>20000</v>
      </c>
    </row>
    <row r="670" spans="1:13" s="510" customFormat="1" ht="74.25" hidden="1" customHeight="1">
      <c r="A670" s="1020" t="s">
        <v>1840</v>
      </c>
      <c r="B670" s="1022"/>
      <c r="C670" s="714" t="s">
        <v>1828</v>
      </c>
      <c r="D670" s="714">
        <v>12</v>
      </c>
      <c r="E670" s="725" t="s">
        <v>1812</v>
      </c>
      <c r="F670" s="1104"/>
      <c r="G670" s="1048"/>
      <c r="H670" s="1140"/>
      <c r="I670" s="717">
        <f t="shared" si="21"/>
        <v>27000</v>
      </c>
      <c r="J670" s="717">
        <f t="shared" si="22"/>
        <v>18000</v>
      </c>
      <c r="K670" s="717">
        <v>45000</v>
      </c>
    </row>
    <row r="671" spans="1:13" s="510" customFormat="1" ht="74.25" hidden="1" customHeight="1">
      <c r="A671" s="1059" t="s">
        <v>1841</v>
      </c>
      <c r="B671" s="1061"/>
      <c r="C671" s="789" t="s">
        <v>1824</v>
      </c>
      <c r="D671" s="789">
        <v>4</v>
      </c>
      <c r="E671" s="790" t="s">
        <v>1829</v>
      </c>
      <c r="F671" s="830" t="s">
        <v>2241</v>
      </c>
      <c r="G671" s="1049"/>
      <c r="H671" s="1140"/>
      <c r="I671" s="717">
        <v>31515</v>
      </c>
      <c r="J671" s="717"/>
      <c r="K671" s="717">
        <f>I671+J671</f>
        <v>31515</v>
      </c>
    </row>
    <row r="672" spans="1:13" s="510" customFormat="1" ht="21.75" hidden="1" customHeight="1">
      <c r="A672" s="836"/>
      <c r="B672" s="837"/>
      <c r="C672" s="789"/>
      <c r="D672" s="789"/>
      <c r="E672" s="790"/>
      <c r="F672" s="830"/>
      <c r="G672" s="758"/>
      <c r="H672" s="756"/>
      <c r="I672" s="717"/>
      <c r="J672" s="717"/>
      <c r="K672" s="717"/>
    </row>
    <row r="673" spans="1:11" s="510" customFormat="1" ht="74.25" hidden="1" customHeight="1">
      <c r="A673" s="1008" t="s">
        <v>2475</v>
      </c>
      <c r="B673" s="1010"/>
      <c r="C673" s="818"/>
      <c r="D673" s="818"/>
      <c r="E673" s="821"/>
      <c r="F673" s="819"/>
      <c r="G673" s="810"/>
      <c r="H673" s="810"/>
      <c r="I673" s="817">
        <v>7421</v>
      </c>
      <c r="J673" s="817"/>
      <c r="K673" s="817">
        <f>I673+J673</f>
        <v>7421</v>
      </c>
    </row>
    <row r="674" spans="1:11" s="510" customFormat="1" ht="74.25" hidden="1" customHeight="1">
      <c r="A674" s="1096" t="s">
        <v>2474</v>
      </c>
      <c r="B674" s="1097"/>
      <c r="C674" s="814"/>
      <c r="D674" s="814"/>
      <c r="E674" s="822"/>
      <c r="F674" s="819"/>
      <c r="G674" s="819"/>
      <c r="H674" s="819"/>
      <c r="I674" s="817">
        <v>1255</v>
      </c>
      <c r="J674" s="817"/>
      <c r="K674" s="817">
        <f>I674+J674</f>
        <v>1255</v>
      </c>
    </row>
    <row r="675" spans="1:11" ht="48" hidden="1" customHeight="1">
      <c r="A675" s="1041" t="s">
        <v>2455</v>
      </c>
      <c r="B675" s="1041"/>
      <c r="C675" s="1042"/>
      <c r="D675" s="1042"/>
      <c r="E675" s="1042"/>
      <c r="F675" s="1042"/>
      <c r="G675" s="1042"/>
      <c r="H675" s="1042"/>
      <c r="I675" s="1042"/>
      <c r="J675" s="27"/>
      <c r="K675" s="27"/>
    </row>
    <row r="676" spans="1:11" ht="42" hidden="1" customHeight="1">
      <c r="A676" s="1041" t="s">
        <v>2456</v>
      </c>
      <c r="B676" s="1041"/>
      <c r="C676" s="1042"/>
      <c r="D676" s="1042"/>
      <c r="E676" s="1042"/>
      <c r="F676" s="1042"/>
      <c r="G676" s="1042"/>
      <c r="H676" s="1042"/>
      <c r="I676" s="1042"/>
      <c r="J676" s="27"/>
      <c r="K676" s="27"/>
    </row>
    <row r="677" spans="1:11" s="510" customFormat="1" ht="74.25" hidden="1" customHeight="1">
      <c r="A677" s="753"/>
      <c r="B677" s="753"/>
      <c r="C677" s="754"/>
      <c r="D677" s="754"/>
      <c r="E677" s="759"/>
      <c r="F677" s="755"/>
      <c r="G677" s="758"/>
      <c r="H677" s="756"/>
      <c r="I677" s="757"/>
      <c r="J677" s="757"/>
      <c r="K677" s="757"/>
    </row>
    <row r="678" spans="1:11" s="510" customFormat="1" ht="74.25" hidden="1" customHeight="1">
      <c r="A678" s="753"/>
      <c r="B678" s="753"/>
      <c r="C678" s="754"/>
      <c r="D678" s="754"/>
      <c r="E678" s="759"/>
      <c r="F678" s="755"/>
      <c r="G678" s="758"/>
      <c r="H678" s="756"/>
      <c r="I678" s="757"/>
      <c r="J678" s="757"/>
      <c r="K678" s="757"/>
    </row>
    <row r="679" spans="1:11" s="510" customFormat="1" ht="74.25" hidden="1" customHeight="1">
      <c r="A679" s="753"/>
      <c r="B679" s="753"/>
      <c r="C679" s="754"/>
      <c r="D679" s="754"/>
      <c r="E679" s="759"/>
      <c r="F679" s="755"/>
      <c r="G679" s="758"/>
      <c r="H679" s="756"/>
      <c r="I679" s="757"/>
      <c r="J679" s="757"/>
      <c r="K679" s="757"/>
    </row>
    <row r="680" spans="1:11" s="510" customFormat="1" ht="74.25" hidden="1" customHeight="1">
      <c r="A680" s="753"/>
      <c r="B680" s="753"/>
      <c r="C680" s="754"/>
      <c r="D680" s="754"/>
      <c r="E680" s="759"/>
      <c r="F680" s="755"/>
      <c r="G680" s="758"/>
      <c r="H680" s="756"/>
      <c r="I680" s="757"/>
      <c r="J680" s="757"/>
      <c r="K680" s="757"/>
    </row>
    <row r="681" spans="1:11" s="510" customFormat="1" ht="74.25" hidden="1" customHeight="1">
      <c r="A681" s="753"/>
      <c r="B681" s="753"/>
      <c r="C681" s="754"/>
      <c r="D681" s="754"/>
      <c r="E681" s="759"/>
      <c r="F681" s="755"/>
      <c r="G681" s="758"/>
      <c r="H681" s="756"/>
      <c r="I681" s="757"/>
      <c r="J681" s="757"/>
      <c r="K681" s="757"/>
    </row>
    <row r="682" spans="1:11" s="510" customFormat="1" ht="74.25" hidden="1" customHeight="1">
      <c r="A682" s="753"/>
      <c r="B682" s="753"/>
      <c r="C682" s="754"/>
      <c r="D682" s="754"/>
      <c r="E682" s="759"/>
      <c r="F682" s="755"/>
      <c r="G682" s="758"/>
      <c r="H682" s="756"/>
      <c r="I682" s="757"/>
      <c r="J682" s="757"/>
      <c r="K682" s="757"/>
    </row>
    <row r="683" spans="1:11" s="510" customFormat="1" ht="74.25" hidden="1" customHeight="1">
      <c r="A683" s="753"/>
      <c r="B683" s="753"/>
      <c r="C683" s="754"/>
      <c r="D683" s="754"/>
      <c r="E683" s="759"/>
      <c r="F683" s="755"/>
      <c r="G683" s="758"/>
      <c r="H683" s="756"/>
      <c r="I683" s="757"/>
      <c r="J683" s="757"/>
      <c r="K683" s="757"/>
    </row>
    <row r="684" spans="1:11" ht="34.5" hidden="1" customHeight="1">
      <c r="A684" s="1128" t="s">
        <v>51</v>
      </c>
      <c r="B684" s="1128"/>
      <c r="C684" s="1128"/>
      <c r="D684" s="1128"/>
      <c r="E684" s="1128"/>
      <c r="F684" s="1128"/>
      <c r="G684" s="1128"/>
      <c r="H684" s="1128"/>
      <c r="I684" s="1128"/>
      <c r="J684" s="1128"/>
      <c r="K684" s="1128"/>
    </row>
    <row r="685" spans="1:11" ht="30.75" hidden="1" customHeight="1">
      <c r="A685" s="1128" t="s">
        <v>52</v>
      </c>
      <c r="B685" s="1128"/>
      <c r="C685" s="1128"/>
      <c r="D685" s="1128"/>
      <c r="E685" s="1128"/>
      <c r="F685" s="1128"/>
      <c r="G685" s="1128"/>
      <c r="H685" s="1128"/>
      <c r="I685" s="1128"/>
      <c r="J685" s="1128"/>
      <c r="K685" s="1128"/>
    </row>
    <row r="686" spans="1:11" ht="33" hidden="1" customHeight="1">
      <c r="A686" s="1132" t="s">
        <v>50</v>
      </c>
      <c r="B686" s="1132"/>
      <c r="C686" s="1132"/>
      <c r="D686" s="1132"/>
      <c r="E686" s="1132"/>
      <c r="F686" s="1132"/>
      <c r="G686" s="1132"/>
      <c r="H686" s="1132"/>
      <c r="I686" s="1132"/>
      <c r="J686" s="1132"/>
      <c r="K686" s="1132"/>
    </row>
    <row r="687" spans="1:11" ht="33" hidden="1" customHeight="1">
      <c r="A687" s="154"/>
      <c r="B687" s="154"/>
      <c r="C687" s="154"/>
      <c r="D687" s="154"/>
      <c r="E687" s="154"/>
      <c r="F687" s="154"/>
      <c r="G687" s="707"/>
      <c r="H687" s="707"/>
      <c r="I687" s="707"/>
      <c r="J687" s="707"/>
      <c r="K687" s="707"/>
    </row>
    <row r="688" spans="1:11" ht="35.25" hidden="1">
      <c r="A688" s="1128" t="s">
        <v>1336</v>
      </c>
      <c r="B688" s="1128"/>
      <c r="C688" s="1128"/>
      <c r="D688" s="1128"/>
      <c r="E688" s="1128"/>
      <c r="F688" s="1128"/>
      <c r="G688" s="1128"/>
      <c r="H688" s="1128"/>
      <c r="I688" s="1128"/>
      <c r="J688" s="1128"/>
      <c r="K688" s="1128"/>
    </row>
    <row r="689" spans="1:11" s="620" customFormat="1" ht="33" hidden="1">
      <c r="A689" s="65"/>
      <c r="B689" s="65"/>
      <c r="C689" s="65"/>
      <c r="D689" s="65"/>
      <c r="E689" s="65"/>
      <c r="F689" s="65"/>
      <c r="G689" s="68"/>
      <c r="H689" s="68"/>
      <c r="I689" s="68"/>
      <c r="J689" s="68"/>
      <c r="K689" s="68"/>
    </row>
    <row r="690" spans="1:11" ht="20.100000000000001" hidden="1" customHeight="1">
      <c r="A690" s="65"/>
      <c r="B690" s="65"/>
      <c r="C690" s="65"/>
      <c r="D690" s="65"/>
      <c r="E690" s="65"/>
      <c r="F690" s="65"/>
      <c r="G690" s="68"/>
      <c r="H690" s="68"/>
      <c r="I690" s="68"/>
      <c r="J690" s="68"/>
      <c r="K690" s="68"/>
    </row>
    <row r="691" spans="1:11" ht="20.100000000000001" hidden="1" customHeight="1">
      <c r="A691" s="979"/>
      <c r="B691" s="979"/>
      <c r="C691" s="979"/>
      <c r="D691" s="979"/>
      <c r="E691" s="979"/>
      <c r="F691" s="979"/>
      <c r="G691" s="979"/>
      <c r="H691" s="979"/>
      <c r="I691" s="979"/>
      <c r="J691" s="979"/>
      <c r="K691" s="979"/>
    </row>
    <row r="692" spans="1:11" ht="45.75" hidden="1" customHeight="1">
      <c r="A692" s="1030" t="s">
        <v>1381</v>
      </c>
      <c r="B692" s="1030"/>
      <c r="C692" s="1030"/>
      <c r="D692" s="1030"/>
      <c r="E692" s="1030"/>
      <c r="F692" s="1030"/>
      <c r="G692" s="1030"/>
      <c r="H692" s="1030"/>
      <c r="I692" s="1030"/>
      <c r="J692" s="1030"/>
      <c r="K692" s="1030"/>
    </row>
    <row r="693" spans="1:11" ht="66" hidden="1" customHeight="1">
      <c r="A693" s="1031" t="s">
        <v>37</v>
      </c>
      <c r="B693" s="1033"/>
      <c r="C693" s="1037" t="s">
        <v>178</v>
      </c>
      <c r="D693" s="1037" t="s">
        <v>179</v>
      </c>
      <c r="E693" s="1037" t="s">
        <v>1521</v>
      </c>
      <c r="F693" s="1037" t="s">
        <v>14</v>
      </c>
      <c r="G693" s="1037" t="s">
        <v>1515</v>
      </c>
      <c r="H693" s="1037" t="s">
        <v>16</v>
      </c>
      <c r="I693" s="1039" t="s">
        <v>1490</v>
      </c>
      <c r="J693" s="1039" t="s">
        <v>2203</v>
      </c>
      <c r="K693" s="1037" t="s">
        <v>200</v>
      </c>
    </row>
    <row r="694" spans="1:11" s="500" customFormat="1" ht="30" hidden="1">
      <c r="A694" s="1034"/>
      <c r="B694" s="1036"/>
      <c r="C694" s="1038"/>
      <c r="D694" s="1038"/>
      <c r="E694" s="1038"/>
      <c r="F694" s="1038"/>
      <c r="G694" s="1038"/>
      <c r="H694" s="1038"/>
      <c r="I694" s="1039"/>
      <c r="J694" s="1039"/>
      <c r="K694" s="1038"/>
    </row>
    <row r="695" spans="1:11" s="500" customFormat="1" ht="74.25" hidden="1" customHeight="1">
      <c r="A695" s="1102" t="s">
        <v>1780</v>
      </c>
      <c r="B695" s="1103"/>
      <c r="C695" s="729"/>
      <c r="D695" s="729"/>
      <c r="E695" s="726"/>
      <c r="F695" s="727"/>
      <c r="G695" s="728"/>
      <c r="H695" s="728"/>
      <c r="I695" s="642">
        <f>I696+I703+I705</f>
        <v>69870.600000000006</v>
      </c>
      <c r="J695" s="642">
        <f>J696+J703+J705</f>
        <v>46580.4</v>
      </c>
      <c r="K695" s="642">
        <f>I695+J695</f>
        <v>116451</v>
      </c>
    </row>
    <row r="696" spans="1:11" ht="75" hidden="1" customHeight="1">
      <c r="A696" s="1011" t="s">
        <v>1541</v>
      </c>
      <c r="B696" s="1013"/>
      <c r="C696" s="709"/>
      <c r="D696" s="709"/>
      <c r="E696" s="709"/>
      <c r="F696" s="708"/>
      <c r="G696" s="709"/>
      <c r="H696" s="710"/>
      <c r="I696" s="545">
        <f>SUM(I697:I702)</f>
        <v>59370.600000000006</v>
      </c>
      <c r="J696" s="545">
        <f>SUM(J697:J702)</f>
        <v>39580.400000000001</v>
      </c>
      <c r="K696" s="545">
        <f>I696+J696</f>
        <v>98951</v>
      </c>
    </row>
    <row r="697" spans="1:11" s="510" customFormat="1" ht="74.25" hidden="1" customHeight="1">
      <c r="A697" s="1020" t="s">
        <v>2245</v>
      </c>
      <c r="B697" s="1022"/>
      <c r="C697" s="714" t="s">
        <v>1785</v>
      </c>
      <c r="D697" s="714">
        <v>8</v>
      </c>
      <c r="E697" s="725" t="s">
        <v>1786</v>
      </c>
      <c r="F697" s="829" t="s">
        <v>2229</v>
      </c>
      <c r="G697" s="1047">
        <v>8100</v>
      </c>
      <c r="H697" s="1099" t="s">
        <v>2273</v>
      </c>
      <c r="I697" s="717">
        <f t="shared" ref="I697:I702" si="23">K697/100*60</f>
        <v>9000</v>
      </c>
      <c r="J697" s="717">
        <f t="shared" ref="J697:J702" si="24">K697/100*40</f>
        <v>6000</v>
      </c>
      <c r="K697" s="717">
        <v>15000</v>
      </c>
    </row>
    <row r="698" spans="1:11" s="510" customFormat="1" ht="75" hidden="1" customHeight="1">
      <c r="A698" s="1020" t="s">
        <v>1781</v>
      </c>
      <c r="B698" s="1022"/>
      <c r="C698" s="714" t="s">
        <v>1787</v>
      </c>
      <c r="D698" s="714">
        <v>3</v>
      </c>
      <c r="E698" s="725" t="s">
        <v>1788</v>
      </c>
      <c r="F698" s="829" t="s">
        <v>2230</v>
      </c>
      <c r="G698" s="1048"/>
      <c r="H698" s="1100"/>
      <c r="I698" s="717">
        <f t="shared" si="23"/>
        <v>34027.800000000003</v>
      </c>
      <c r="J698" s="717">
        <f t="shared" si="24"/>
        <v>22685.200000000001</v>
      </c>
      <c r="K698" s="717">
        <v>56713</v>
      </c>
    </row>
    <row r="699" spans="1:11" s="510" customFormat="1" ht="75" hidden="1" customHeight="1">
      <c r="A699" s="1020" t="s">
        <v>1782</v>
      </c>
      <c r="B699" s="1022"/>
      <c r="C699" s="714" t="s">
        <v>1789</v>
      </c>
      <c r="D699" s="744">
        <v>4</v>
      </c>
      <c r="E699" s="725" t="s">
        <v>1790</v>
      </c>
      <c r="F699" s="1044" t="s">
        <v>2231</v>
      </c>
      <c r="G699" s="1048"/>
      <c r="H699" s="1100"/>
      <c r="I699" s="717">
        <f t="shared" si="23"/>
        <v>4200</v>
      </c>
      <c r="J699" s="717">
        <f t="shared" si="24"/>
        <v>2800</v>
      </c>
      <c r="K699" s="717">
        <v>7000</v>
      </c>
    </row>
    <row r="700" spans="1:11" s="510" customFormat="1" ht="75" hidden="1" customHeight="1">
      <c r="A700" s="1020" t="s">
        <v>1783</v>
      </c>
      <c r="B700" s="1022"/>
      <c r="C700" s="714" t="s">
        <v>1791</v>
      </c>
      <c r="D700" s="714">
        <v>12</v>
      </c>
      <c r="E700" s="725" t="s">
        <v>1792</v>
      </c>
      <c r="F700" s="1045"/>
      <c r="G700" s="1048"/>
      <c r="H700" s="1100"/>
      <c r="I700" s="717">
        <f t="shared" si="23"/>
        <v>2542.8000000000002</v>
      </c>
      <c r="J700" s="717">
        <f t="shared" si="24"/>
        <v>1695.2</v>
      </c>
      <c r="K700" s="717">
        <v>4238</v>
      </c>
    </row>
    <row r="701" spans="1:11" s="510" customFormat="1" ht="75" hidden="1" customHeight="1">
      <c r="A701" s="1020" t="s">
        <v>1784</v>
      </c>
      <c r="B701" s="1022"/>
      <c r="C701" s="714" t="s">
        <v>1791</v>
      </c>
      <c r="D701" s="714">
        <v>10</v>
      </c>
      <c r="E701" s="725" t="s">
        <v>1793</v>
      </c>
      <c r="F701" s="1045"/>
      <c r="G701" s="1048"/>
      <c r="H701" s="1100"/>
      <c r="I701" s="717">
        <f t="shared" si="23"/>
        <v>2400</v>
      </c>
      <c r="J701" s="717">
        <f t="shared" si="24"/>
        <v>1600</v>
      </c>
      <c r="K701" s="717">
        <v>4000</v>
      </c>
    </row>
    <row r="702" spans="1:11" s="510" customFormat="1" ht="75" hidden="1" customHeight="1">
      <c r="A702" s="1020" t="s">
        <v>1496</v>
      </c>
      <c r="B702" s="1022"/>
      <c r="C702" s="714" t="s">
        <v>1794</v>
      </c>
      <c r="D702" s="714">
        <v>20</v>
      </c>
      <c r="E702" s="725" t="s">
        <v>1795</v>
      </c>
      <c r="F702" s="1046"/>
      <c r="G702" s="1048"/>
      <c r="H702" s="1100"/>
      <c r="I702" s="717">
        <f t="shared" si="23"/>
        <v>7200</v>
      </c>
      <c r="J702" s="717">
        <f t="shared" si="24"/>
        <v>4800</v>
      </c>
      <c r="K702" s="717">
        <v>12000</v>
      </c>
    </row>
    <row r="703" spans="1:11" ht="74.25" hidden="1" customHeight="1">
      <c r="A703" s="1011" t="s">
        <v>278</v>
      </c>
      <c r="B703" s="1013"/>
      <c r="C703" s="504"/>
      <c r="D703" s="709"/>
      <c r="E703" s="709"/>
      <c r="F703" s="708"/>
      <c r="G703" s="709"/>
      <c r="H703" s="710"/>
      <c r="I703" s="545">
        <f>SUM(I704)</f>
        <v>3000</v>
      </c>
      <c r="J703" s="545">
        <f>SUM(J704)</f>
        <v>2000</v>
      </c>
      <c r="K703" s="545">
        <f>I703+J703</f>
        <v>5000</v>
      </c>
    </row>
    <row r="704" spans="1:11" s="510" customFormat="1" ht="74.25" hidden="1" customHeight="1">
      <c r="A704" s="1020" t="s">
        <v>1796</v>
      </c>
      <c r="B704" s="1022"/>
      <c r="C704" s="714" t="s">
        <v>18</v>
      </c>
      <c r="D704" s="714">
        <v>10</v>
      </c>
      <c r="E704" s="725" t="s">
        <v>1797</v>
      </c>
      <c r="F704" s="833" t="s">
        <v>2234</v>
      </c>
      <c r="G704" s="835">
        <v>8100</v>
      </c>
      <c r="H704" s="834" t="s">
        <v>2445</v>
      </c>
      <c r="I704" s="717">
        <f>K704/100*60</f>
        <v>3000</v>
      </c>
      <c r="J704" s="717">
        <f>K704/100*40</f>
        <v>2000</v>
      </c>
      <c r="K704" s="717">
        <v>5000</v>
      </c>
    </row>
    <row r="705" spans="1:11" ht="73.5" hidden="1" customHeight="1">
      <c r="A705" s="1011" t="s">
        <v>312</v>
      </c>
      <c r="B705" s="1013"/>
      <c r="C705" s="709"/>
      <c r="D705" s="709"/>
      <c r="E705" s="709"/>
      <c r="F705" s="708"/>
      <c r="G705" s="709"/>
      <c r="H705" s="710"/>
      <c r="I705" s="545">
        <f>SUM(I706:I707)</f>
        <v>7500</v>
      </c>
      <c r="J705" s="545">
        <f>SUM(J706:J707)</f>
        <v>5000</v>
      </c>
      <c r="K705" s="545">
        <f>I705+J705</f>
        <v>12500</v>
      </c>
    </row>
    <row r="706" spans="1:11" s="510" customFormat="1" ht="74.25" hidden="1" customHeight="1">
      <c r="A706" s="1020" t="s">
        <v>1798</v>
      </c>
      <c r="B706" s="1022"/>
      <c r="C706" s="714" t="s">
        <v>138</v>
      </c>
      <c r="D706" s="714">
        <v>10</v>
      </c>
      <c r="E706" s="725" t="s">
        <v>1800</v>
      </c>
      <c r="F706" s="1044" t="s">
        <v>2224</v>
      </c>
      <c r="G706" s="1047">
        <v>8100</v>
      </c>
      <c r="H706" s="1099" t="s">
        <v>2273</v>
      </c>
      <c r="I706" s="717">
        <f>K706/100*60</f>
        <v>3000</v>
      </c>
      <c r="J706" s="717">
        <f>K706/100*40</f>
        <v>2000</v>
      </c>
      <c r="K706" s="717">
        <v>5000</v>
      </c>
    </row>
    <row r="707" spans="1:11" s="510" customFormat="1" ht="74.25" hidden="1" customHeight="1">
      <c r="A707" s="1020" t="s">
        <v>1799</v>
      </c>
      <c r="B707" s="1022"/>
      <c r="C707" s="714" t="s">
        <v>1801</v>
      </c>
      <c r="D707" s="714">
        <v>1</v>
      </c>
      <c r="E707" s="725" t="s">
        <v>1802</v>
      </c>
      <c r="F707" s="1046"/>
      <c r="G707" s="1048"/>
      <c r="H707" s="1100"/>
      <c r="I707" s="717">
        <f>K707/100*60</f>
        <v>4500</v>
      </c>
      <c r="J707" s="717">
        <f>K707/100*40</f>
        <v>3000</v>
      </c>
      <c r="K707" s="717">
        <v>7500</v>
      </c>
    </row>
    <row r="708" spans="1:11" ht="96.75" hidden="1" customHeight="1">
      <c r="A708" s="1141"/>
      <c r="B708" s="1141"/>
      <c r="C708" s="1141"/>
      <c r="D708" s="1141"/>
      <c r="E708" s="1141"/>
      <c r="F708" s="1141"/>
      <c r="G708" s="1141"/>
      <c r="H708" s="1141"/>
      <c r="I708" s="1141"/>
      <c r="J708" s="1141"/>
      <c r="K708" s="1141"/>
    </row>
    <row r="709" spans="1:11" ht="96.75" hidden="1" customHeight="1">
      <c r="A709" s="753"/>
      <c r="B709" s="753"/>
      <c r="C709" s="753"/>
      <c r="D709" s="753"/>
      <c r="E709" s="753"/>
      <c r="F709" s="753"/>
      <c r="G709" s="753"/>
      <c r="H709" s="753"/>
      <c r="I709" s="753"/>
      <c r="J709" s="753"/>
      <c r="K709" s="753"/>
    </row>
    <row r="710" spans="1:11" ht="96.75" hidden="1" customHeight="1">
      <c r="A710" s="753"/>
      <c r="B710" s="753"/>
      <c r="C710" s="753"/>
      <c r="D710" s="753"/>
      <c r="E710" s="753"/>
      <c r="F710" s="753"/>
      <c r="G710" s="753"/>
      <c r="H710" s="753"/>
      <c r="I710" s="753"/>
      <c r="J710" s="753"/>
      <c r="K710" s="753"/>
    </row>
    <row r="711" spans="1:11" ht="96.75" hidden="1" customHeight="1">
      <c r="A711" s="753"/>
      <c r="B711" s="753"/>
      <c r="C711" s="753"/>
      <c r="D711" s="753"/>
      <c r="E711" s="753"/>
      <c r="F711" s="753"/>
      <c r="G711" s="753"/>
      <c r="H711" s="753"/>
      <c r="I711" s="753"/>
      <c r="J711" s="753"/>
      <c r="K711" s="753"/>
    </row>
    <row r="712" spans="1:11" ht="96.75" hidden="1" customHeight="1">
      <c r="A712" s="753"/>
      <c r="B712" s="753"/>
      <c r="C712" s="753"/>
      <c r="D712" s="753"/>
      <c r="E712" s="753"/>
      <c r="F712" s="753"/>
      <c r="G712" s="753"/>
      <c r="H712" s="753"/>
      <c r="I712" s="753"/>
      <c r="J712" s="753"/>
      <c r="K712" s="753"/>
    </row>
    <row r="713" spans="1:11" ht="96.75" hidden="1" customHeight="1">
      <c r="A713" s="753"/>
      <c r="B713" s="753"/>
      <c r="C713" s="753"/>
      <c r="D713" s="753"/>
      <c r="E713" s="753"/>
      <c r="F713" s="753"/>
      <c r="G713" s="753"/>
      <c r="H713" s="753"/>
      <c r="I713" s="753"/>
      <c r="J713" s="753"/>
      <c r="K713" s="753"/>
    </row>
    <row r="714" spans="1:11" ht="96.75" hidden="1" customHeight="1">
      <c r="A714" s="753"/>
      <c r="B714" s="753"/>
      <c r="C714" s="753"/>
      <c r="D714" s="753"/>
      <c r="E714" s="753"/>
      <c r="F714" s="753"/>
      <c r="G714" s="753"/>
      <c r="H714" s="753"/>
      <c r="I714" s="753"/>
      <c r="J714" s="753"/>
      <c r="K714" s="753"/>
    </row>
    <row r="715" spans="1:11" ht="96.75" hidden="1" customHeight="1">
      <c r="A715" s="753"/>
      <c r="B715" s="753"/>
      <c r="C715" s="753"/>
      <c r="D715" s="753"/>
      <c r="E715" s="753"/>
      <c r="F715" s="753"/>
      <c r="G715" s="753"/>
      <c r="H715" s="753"/>
      <c r="I715" s="753"/>
      <c r="J715" s="753"/>
      <c r="K715" s="753"/>
    </row>
    <row r="716" spans="1:11" ht="96.75" hidden="1" customHeight="1">
      <c r="A716" s="753"/>
      <c r="B716" s="753"/>
      <c r="C716" s="753"/>
      <c r="D716" s="753"/>
      <c r="E716" s="753"/>
      <c r="F716" s="753"/>
      <c r="G716" s="753"/>
      <c r="H716" s="753"/>
      <c r="I716" s="753"/>
      <c r="J716" s="753"/>
      <c r="K716" s="753"/>
    </row>
    <row r="717" spans="1:11" ht="96.75" hidden="1" customHeight="1">
      <c r="A717" s="753"/>
      <c r="B717" s="753"/>
      <c r="C717" s="753"/>
      <c r="D717" s="753"/>
      <c r="E717" s="753"/>
      <c r="F717" s="753"/>
      <c r="G717" s="753"/>
      <c r="H717" s="753"/>
      <c r="I717" s="753"/>
      <c r="J717" s="753"/>
      <c r="K717" s="753"/>
    </row>
    <row r="718" spans="1:11" ht="96.75" hidden="1" customHeight="1">
      <c r="A718" s="753"/>
      <c r="B718" s="753"/>
      <c r="C718" s="753"/>
      <c r="D718" s="753"/>
      <c r="E718" s="753"/>
      <c r="F718" s="753"/>
      <c r="G718" s="753"/>
      <c r="H718" s="753"/>
      <c r="I718" s="753"/>
      <c r="J718" s="753"/>
      <c r="K718" s="753"/>
    </row>
    <row r="719" spans="1:11" ht="96.75" hidden="1" customHeight="1">
      <c r="A719" s="753"/>
      <c r="B719" s="753"/>
      <c r="C719" s="753"/>
      <c r="D719" s="753"/>
      <c r="E719" s="753"/>
      <c r="F719" s="753"/>
      <c r="G719" s="753"/>
      <c r="H719" s="753"/>
      <c r="I719" s="753"/>
      <c r="J719" s="753"/>
      <c r="K719" s="753"/>
    </row>
    <row r="720" spans="1:11" ht="96.75" hidden="1" customHeight="1">
      <c r="A720" s="753"/>
      <c r="B720" s="753"/>
      <c r="C720" s="753"/>
      <c r="D720" s="753"/>
      <c r="E720" s="753"/>
      <c r="F720" s="753"/>
      <c r="G720" s="753"/>
      <c r="H720" s="753"/>
      <c r="I720" s="753"/>
      <c r="J720" s="753"/>
      <c r="K720" s="753"/>
    </row>
    <row r="721" spans="1:11" ht="96.75" hidden="1" customHeight="1">
      <c r="A721" s="753"/>
      <c r="B721" s="753"/>
      <c r="C721" s="753"/>
      <c r="D721" s="753"/>
      <c r="E721" s="753"/>
      <c r="F721" s="753"/>
      <c r="G721" s="753"/>
      <c r="H721" s="753"/>
      <c r="I721" s="753"/>
      <c r="J721" s="753"/>
      <c r="K721" s="753"/>
    </row>
    <row r="722" spans="1:11" ht="45">
      <c r="A722" s="979" t="s">
        <v>2493</v>
      </c>
      <c r="B722" s="979"/>
      <c r="C722" s="979"/>
      <c r="D722" s="979"/>
      <c r="E722" s="979"/>
      <c r="F722" s="979"/>
      <c r="G722" s="979"/>
      <c r="H722" s="979"/>
      <c r="I722" s="979"/>
      <c r="J722" s="979"/>
      <c r="K722" s="979"/>
    </row>
    <row r="723" spans="1:11" ht="45">
      <c r="A723" s="979" t="s">
        <v>52</v>
      </c>
      <c r="B723" s="979"/>
      <c r="C723" s="979"/>
      <c r="D723" s="979"/>
      <c r="E723" s="979"/>
      <c r="F723" s="979"/>
      <c r="G723" s="979"/>
      <c r="H723" s="979"/>
      <c r="I723" s="979"/>
      <c r="J723" s="979"/>
      <c r="K723" s="979"/>
    </row>
    <row r="724" spans="1:11" ht="45">
      <c r="A724" s="1040" t="s">
        <v>50</v>
      </c>
      <c r="B724" s="1040"/>
      <c r="C724" s="1040"/>
      <c r="D724" s="1040"/>
      <c r="E724" s="1040"/>
      <c r="F724" s="1040"/>
      <c r="G724" s="1040"/>
      <c r="H724" s="1040"/>
      <c r="I724" s="1040"/>
      <c r="J724" s="1040"/>
      <c r="K724" s="1040"/>
    </row>
    <row r="725" spans="1:11" ht="44.25">
      <c r="A725" s="736"/>
      <c r="B725" s="736"/>
      <c r="C725" s="736"/>
      <c r="D725" s="736"/>
      <c r="E725" s="736"/>
      <c r="F725" s="736"/>
      <c r="G725" s="838"/>
      <c r="H725" s="838"/>
      <c r="I725" s="838"/>
      <c r="J725" s="838"/>
      <c r="K725" s="838"/>
    </row>
    <row r="726" spans="1:11" ht="45">
      <c r="A726" s="979" t="s">
        <v>1489</v>
      </c>
      <c r="B726" s="979"/>
      <c r="C726" s="979"/>
      <c r="D726" s="979"/>
      <c r="E726" s="979"/>
      <c r="F726" s="979"/>
      <c r="G726" s="979"/>
      <c r="H726" s="979"/>
      <c r="I726" s="979"/>
      <c r="J726" s="979"/>
      <c r="K726" s="979"/>
    </row>
    <row r="727" spans="1:11" s="620" customFormat="1" ht="33">
      <c r="A727" s="65"/>
      <c r="B727" s="65"/>
      <c r="C727" s="65"/>
      <c r="D727" s="65"/>
      <c r="E727" s="65"/>
      <c r="F727" s="65"/>
      <c r="G727" s="68"/>
      <c r="H727" s="68"/>
      <c r="I727" s="68"/>
      <c r="J727" s="68"/>
      <c r="K727" s="68"/>
    </row>
    <row r="728" spans="1:11" ht="20.100000000000001" customHeight="1">
      <c r="A728" s="65"/>
      <c r="B728" s="65"/>
      <c r="C728" s="65"/>
      <c r="D728" s="65"/>
      <c r="E728" s="65"/>
      <c r="F728" s="65"/>
      <c r="G728" s="68"/>
      <c r="H728" s="68"/>
      <c r="I728" s="68"/>
      <c r="J728" s="68"/>
      <c r="K728" s="68"/>
    </row>
    <row r="729" spans="1:11" ht="20.100000000000001" customHeight="1">
      <c r="A729" s="979"/>
      <c r="B729" s="979"/>
      <c r="C729" s="979"/>
      <c r="D729" s="979"/>
      <c r="E729" s="979"/>
      <c r="F729" s="979"/>
      <c r="G729" s="979"/>
      <c r="H729" s="979"/>
      <c r="I729" s="979"/>
      <c r="J729" s="979"/>
      <c r="K729" s="979"/>
    </row>
    <row r="730" spans="1:11" ht="45.75" customHeight="1">
      <c r="A730" s="1030" t="s">
        <v>1382</v>
      </c>
      <c r="B730" s="1030"/>
      <c r="C730" s="1030"/>
      <c r="D730" s="1030"/>
      <c r="E730" s="1030"/>
      <c r="F730" s="1030"/>
      <c r="G730" s="1030"/>
      <c r="H730" s="1030"/>
      <c r="I730" s="1030"/>
      <c r="J730" s="1030"/>
      <c r="K730" s="1030"/>
    </row>
    <row r="731" spans="1:11" s="902" customFormat="1" ht="67.5" customHeight="1">
      <c r="A731" s="1111" t="s">
        <v>37</v>
      </c>
      <c r="B731" s="1112"/>
      <c r="C731" s="983" t="s">
        <v>178</v>
      </c>
      <c r="D731" s="983" t="s">
        <v>179</v>
      </c>
      <c r="E731" s="983" t="s">
        <v>1521</v>
      </c>
      <c r="F731" s="983" t="s">
        <v>14</v>
      </c>
      <c r="G731" s="983" t="s">
        <v>1515</v>
      </c>
      <c r="H731" s="983" t="s">
        <v>16</v>
      </c>
      <c r="I731" s="1108" t="s">
        <v>1490</v>
      </c>
      <c r="J731" s="1108" t="s">
        <v>2506</v>
      </c>
      <c r="K731" s="983" t="s">
        <v>200</v>
      </c>
    </row>
    <row r="732" spans="1:11" s="900" customFormat="1" ht="67.5" customHeight="1">
      <c r="A732" s="1113"/>
      <c r="B732" s="1114"/>
      <c r="C732" s="984"/>
      <c r="D732" s="984"/>
      <c r="E732" s="984"/>
      <c r="F732" s="984"/>
      <c r="G732" s="984"/>
      <c r="H732" s="984"/>
      <c r="I732" s="1108"/>
      <c r="J732" s="1108"/>
      <c r="K732" s="984"/>
    </row>
    <row r="733" spans="1:11" s="900" customFormat="1" ht="108.75" customHeight="1">
      <c r="A733" s="1144" t="s">
        <v>1970</v>
      </c>
      <c r="B733" s="1145"/>
      <c r="C733" s="921"/>
      <c r="D733" s="921"/>
      <c r="E733" s="922"/>
      <c r="F733" s="923"/>
      <c r="G733" s="924"/>
      <c r="H733" s="924"/>
      <c r="I733" s="920">
        <f>I734+I741+I739</f>
        <v>108133.20000000001</v>
      </c>
      <c r="J733" s="920">
        <f>J734+J741+J739</f>
        <v>72088.799999999988</v>
      </c>
      <c r="K733" s="920">
        <f>I733+J733</f>
        <v>180222</v>
      </c>
    </row>
    <row r="734" spans="1:11" s="902" customFormat="1" ht="108.75" customHeight="1">
      <c r="A734" s="1070" t="s">
        <v>1541</v>
      </c>
      <c r="B734" s="1071"/>
      <c r="C734" s="925"/>
      <c r="D734" s="925"/>
      <c r="E734" s="925"/>
      <c r="F734" s="931"/>
      <c r="G734" s="925"/>
      <c r="H734" s="926"/>
      <c r="I734" s="871">
        <f>SUM(I735:I738)</f>
        <v>33599.4</v>
      </c>
      <c r="J734" s="871">
        <f>SUM(J735:J738)</f>
        <v>22399.599999999999</v>
      </c>
      <c r="K734" s="871">
        <f>I734+J734</f>
        <v>55999</v>
      </c>
    </row>
    <row r="735" spans="1:11" s="901" customFormat="1" ht="101.25" customHeight="1">
      <c r="A735" s="1068" t="s">
        <v>1972</v>
      </c>
      <c r="B735" s="1069"/>
      <c r="C735" s="928" t="s">
        <v>1976</v>
      </c>
      <c r="D735" s="928">
        <v>17</v>
      </c>
      <c r="E735" s="928" t="s">
        <v>1977</v>
      </c>
      <c r="F735" s="840" t="s">
        <v>2246</v>
      </c>
      <c r="G735" s="1072">
        <v>8100</v>
      </c>
      <c r="H735" s="1075" t="s">
        <v>2273</v>
      </c>
      <c r="I735" s="873">
        <f>K735/100*60</f>
        <v>15300</v>
      </c>
      <c r="J735" s="873">
        <f>K735/100*40</f>
        <v>10200</v>
      </c>
      <c r="K735" s="873">
        <v>25500</v>
      </c>
    </row>
    <row r="736" spans="1:11" s="901" customFormat="1" ht="101.25" customHeight="1">
      <c r="A736" s="1068" t="s">
        <v>1606</v>
      </c>
      <c r="B736" s="1069"/>
      <c r="C736" s="928" t="s">
        <v>1623</v>
      </c>
      <c r="D736" s="928">
        <v>50</v>
      </c>
      <c r="E736" s="928" t="s">
        <v>1978</v>
      </c>
      <c r="F736" s="840" t="s">
        <v>2247</v>
      </c>
      <c r="G736" s="1073"/>
      <c r="H736" s="1076"/>
      <c r="I736" s="873">
        <f>K736/100*60</f>
        <v>7799.4000000000005</v>
      </c>
      <c r="J736" s="873">
        <f>K736/100*40</f>
        <v>5199.6000000000004</v>
      </c>
      <c r="K736" s="873">
        <v>12999</v>
      </c>
    </row>
    <row r="737" spans="1:11" s="901" customFormat="1" ht="101.25" customHeight="1">
      <c r="A737" s="1068" t="s">
        <v>1973</v>
      </c>
      <c r="B737" s="1069"/>
      <c r="C737" s="928" t="s">
        <v>1934</v>
      </c>
      <c r="D737" s="928">
        <v>22</v>
      </c>
      <c r="E737" s="928" t="s">
        <v>1979</v>
      </c>
      <c r="F737" s="1104" t="s">
        <v>2248</v>
      </c>
      <c r="G737" s="1073"/>
      <c r="H737" s="1076"/>
      <c r="I737" s="873">
        <f>K737/100*60</f>
        <v>9600</v>
      </c>
      <c r="J737" s="873">
        <f>K737/100*40</f>
        <v>6400</v>
      </c>
      <c r="K737" s="873">
        <v>16000</v>
      </c>
    </row>
    <row r="738" spans="1:11" s="901" customFormat="1" ht="101.25" customHeight="1">
      <c r="A738" s="1068" t="s">
        <v>1974</v>
      </c>
      <c r="B738" s="1069"/>
      <c r="C738" s="928" t="s">
        <v>1863</v>
      </c>
      <c r="D738" s="928">
        <v>1</v>
      </c>
      <c r="E738" s="928" t="s">
        <v>1979</v>
      </c>
      <c r="F738" s="1104"/>
      <c r="G738" s="1073"/>
      <c r="H738" s="1076"/>
      <c r="I738" s="873">
        <f>K738/100*60</f>
        <v>900</v>
      </c>
      <c r="J738" s="873">
        <f>K738/100*40</f>
        <v>600</v>
      </c>
      <c r="K738" s="873">
        <v>1500</v>
      </c>
    </row>
    <row r="739" spans="1:11" s="902" customFormat="1" ht="67.5" customHeight="1">
      <c r="A739" s="1070" t="s">
        <v>278</v>
      </c>
      <c r="B739" s="1071"/>
      <c r="C739" s="925"/>
      <c r="D739" s="925"/>
      <c r="E739" s="925"/>
      <c r="F739" s="931"/>
      <c r="G739" s="925"/>
      <c r="H739" s="926"/>
      <c r="I739" s="871">
        <f>SUM(I740:I740)</f>
        <v>3000</v>
      </c>
      <c r="J739" s="871">
        <f>SUM(J740:J740)</f>
        <v>2000</v>
      </c>
      <c r="K739" s="871">
        <f>I739+J739</f>
        <v>5000</v>
      </c>
    </row>
    <row r="740" spans="1:11" s="901" customFormat="1" ht="101.25" customHeight="1">
      <c r="A740" s="1068" t="s">
        <v>1971</v>
      </c>
      <c r="B740" s="1069"/>
      <c r="C740" s="928" t="s">
        <v>1215</v>
      </c>
      <c r="D740" s="928">
        <v>6</v>
      </c>
      <c r="E740" s="928" t="s">
        <v>1980</v>
      </c>
      <c r="F740" s="842" t="s">
        <v>2235</v>
      </c>
      <c r="G740" s="956">
        <v>8100</v>
      </c>
      <c r="H740" s="932" t="s">
        <v>2445</v>
      </c>
      <c r="I740" s="873">
        <f>K740/100*60</f>
        <v>3000</v>
      </c>
      <c r="J740" s="873">
        <f>K740/100*40</f>
        <v>2000</v>
      </c>
      <c r="K740" s="873">
        <v>5000</v>
      </c>
    </row>
    <row r="741" spans="1:11" s="902" customFormat="1" ht="67.5" customHeight="1">
      <c r="A741" s="1070" t="s">
        <v>307</v>
      </c>
      <c r="B741" s="1071"/>
      <c r="C741" s="925"/>
      <c r="D741" s="925"/>
      <c r="E741" s="925"/>
      <c r="F741" s="931"/>
      <c r="G741" s="925"/>
      <c r="H741" s="926"/>
      <c r="I741" s="871">
        <f>SUM(I742:I742)</f>
        <v>71533.8</v>
      </c>
      <c r="J741" s="871">
        <f>SUM(J742:J742)</f>
        <v>47689.2</v>
      </c>
      <c r="K741" s="871">
        <f>I741+J741</f>
        <v>119223</v>
      </c>
    </row>
    <row r="742" spans="1:11" s="901" customFormat="1" ht="101.25" customHeight="1">
      <c r="A742" s="1068" t="s">
        <v>1975</v>
      </c>
      <c r="B742" s="1069"/>
      <c r="C742" s="928" t="s">
        <v>147</v>
      </c>
      <c r="D742" s="946">
        <v>1138</v>
      </c>
      <c r="E742" s="928" t="s">
        <v>1981</v>
      </c>
      <c r="F742" s="840" t="s">
        <v>1183</v>
      </c>
      <c r="G742" s="956">
        <v>8100</v>
      </c>
      <c r="H742" s="930" t="s">
        <v>2273</v>
      </c>
      <c r="I742" s="873">
        <f>K742/100*60</f>
        <v>71533.8</v>
      </c>
      <c r="J742" s="873">
        <f>K742/100*40</f>
        <v>47689.2</v>
      </c>
      <c r="K742" s="873">
        <v>119223</v>
      </c>
    </row>
    <row r="743" spans="1:11" s="951" customFormat="1" ht="67.5" customHeight="1">
      <c r="A743" s="1125"/>
      <c r="B743" s="1126"/>
      <c r="C743" s="947"/>
      <c r="D743" s="947"/>
      <c r="E743" s="948"/>
      <c r="F743" s="949"/>
      <c r="G743" s="950"/>
      <c r="H743" s="950"/>
      <c r="I743" s="742"/>
      <c r="J743" s="742"/>
      <c r="K743" s="742"/>
    </row>
    <row r="744" spans="1:11" s="902" customFormat="1" ht="67.5" customHeight="1">
      <c r="A744" s="1111" t="s">
        <v>37</v>
      </c>
      <c r="B744" s="1112"/>
      <c r="C744" s="983" t="s">
        <v>178</v>
      </c>
      <c r="D744" s="983" t="s">
        <v>179</v>
      </c>
      <c r="E744" s="983" t="s">
        <v>1521</v>
      </c>
      <c r="F744" s="983" t="s">
        <v>14</v>
      </c>
      <c r="G744" s="983" t="s">
        <v>1515</v>
      </c>
      <c r="H744" s="983" t="s">
        <v>16</v>
      </c>
      <c r="I744" s="1108" t="s">
        <v>1490</v>
      </c>
      <c r="J744" s="1108" t="s">
        <v>2506</v>
      </c>
      <c r="K744" s="983" t="s">
        <v>200</v>
      </c>
    </row>
    <row r="745" spans="1:11" s="900" customFormat="1" ht="67.5" customHeight="1">
      <c r="A745" s="1113"/>
      <c r="B745" s="1114"/>
      <c r="C745" s="984"/>
      <c r="D745" s="984"/>
      <c r="E745" s="984"/>
      <c r="F745" s="984"/>
      <c r="G745" s="984"/>
      <c r="H745" s="984"/>
      <c r="I745" s="1108"/>
      <c r="J745" s="1108"/>
      <c r="K745" s="984"/>
    </row>
    <row r="746" spans="1:11" s="900" customFormat="1" ht="108.75" customHeight="1">
      <c r="A746" s="1109" t="s">
        <v>1952</v>
      </c>
      <c r="B746" s="1110"/>
      <c r="C746" s="921"/>
      <c r="D746" s="921"/>
      <c r="E746" s="922"/>
      <c r="F746" s="923"/>
      <c r="G746" s="924"/>
      <c r="H746" s="924"/>
      <c r="I746" s="920">
        <f>I747+I755+I753</f>
        <v>66321</v>
      </c>
      <c r="J746" s="920">
        <f>J747+J755+J753</f>
        <v>44214</v>
      </c>
      <c r="K746" s="920">
        <f>I746+J746</f>
        <v>110535</v>
      </c>
    </row>
    <row r="747" spans="1:11" s="902" customFormat="1" ht="108.75" customHeight="1">
      <c r="A747" s="1070" t="s">
        <v>1541</v>
      </c>
      <c r="B747" s="1071"/>
      <c r="C747" s="925"/>
      <c r="D747" s="925"/>
      <c r="E747" s="925"/>
      <c r="F747" s="931"/>
      <c r="G747" s="925"/>
      <c r="H747" s="926"/>
      <c r="I747" s="871">
        <f>SUM(I748:I752)</f>
        <v>58341</v>
      </c>
      <c r="J747" s="871">
        <f>SUM(J748:J752)</f>
        <v>38894</v>
      </c>
      <c r="K747" s="871">
        <f>I747+J747</f>
        <v>97235</v>
      </c>
    </row>
    <row r="748" spans="1:11" s="901" customFormat="1" ht="101.25" customHeight="1">
      <c r="A748" s="1068" t="s">
        <v>1954</v>
      </c>
      <c r="B748" s="1069"/>
      <c r="C748" s="928" t="s">
        <v>1958</v>
      </c>
      <c r="D748" s="928">
        <v>5</v>
      </c>
      <c r="E748" s="928" t="s">
        <v>1959</v>
      </c>
      <c r="F748" s="840" t="s">
        <v>2249</v>
      </c>
      <c r="G748" s="1072">
        <v>8100</v>
      </c>
      <c r="H748" s="1075" t="s">
        <v>2273</v>
      </c>
      <c r="I748" s="873">
        <f>K748/100*60</f>
        <v>17856</v>
      </c>
      <c r="J748" s="873">
        <f>K748/100*40</f>
        <v>11904</v>
      </c>
      <c r="K748" s="873">
        <v>29760</v>
      </c>
    </row>
    <row r="749" spans="1:11" s="901" customFormat="1" ht="101.25" customHeight="1">
      <c r="A749" s="1068" t="s">
        <v>1955</v>
      </c>
      <c r="B749" s="1069"/>
      <c r="C749" s="928" t="s">
        <v>1958</v>
      </c>
      <c r="D749" s="928">
        <v>4</v>
      </c>
      <c r="E749" s="928" t="s">
        <v>1960</v>
      </c>
      <c r="F749" s="840" t="s">
        <v>2247</v>
      </c>
      <c r="G749" s="1073"/>
      <c r="H749" s="1076"/>
      <c r="I749" s="873">
        <f>K749/100*60</f>
        <v>6000</v>
      </c>
      <c r="J749" s="873">
        <f>K749/100*40</f>
        <v>4000</v>
      </c>
      <c r="K749" s="873">
        <v>10000</v>
      </c>
    </row>
    <row r="750" spans="1:11" s="901" customFormat="1" ht="101.25" customHeight="1">
      <c r="A750" s="1068" t="s">
        <v>1496</v>
      </c>
      <c r="B750" s="1069"/>
      <c r="C750" s="928" t="s">
        <v>1961</v>
      </c>
      <c r="D750" s="928">
        <v>50</v>
      </c>
      <c r="E750" s="928" t="s">
        <v>1960</v>
      </c>
      <c r="F750" s="1044" t="s">
        <v>2248</v>
      </c>
      <c r="G750" s="1073"/>
      <c r="H750" s="1076"/>
      <c r="I750" s="873">
        <f>K750/100*60</f>
        <v>6000</v>
      </c>
      <c r="J750" s="873">
        <f>K750/100*40</f>
        <v>4000</v>
      </c>
      <c r="K750" s="873">
        <v>10000</v>
      </c>
    </row>
    <row r="751" spans="1:11" s="901" customFormat="1" ht="101.25" customHeight="1">
      <c r="A751" s="1068" t="s">
        <v>1840</v>
      </c>
      <c r="B751" s="1069"/>
      <c r="C751" s="928" t="s">
        <v>1962</v>
      </c>
      <c r="D751" s="928">
        <v>1</v>
      </c>
      <c r="E751" s="928" t="s">
        <v>1963</v>
      </c>
      <c r="F751" s="1045"/>
      <c r="G751" s="1073"/>
      <c r="H751" s="1076"/>
      <c r="I751" s="873">
        <f>K751/100*60</f>
        <v>4500</v>
      </c>
      <c r="J751" s="873">
        <f>K751/100*40</f>
        <v>3000</v>
      </c>
      <c r="K751" s="873">
        <v>7500</v>
      </c>
    </row>
    <row r="752" spans="1:11" s="901" customFormat="1" ht="101.25" customHeight="1">
      <c r="A752" s="1068" t="s">
        <v>1956</v>
      </c>
      <c r="B752" s="1069"/>
      <c r="C752" s="928" t="s">
        <v>1964</v>
      </c>
      <c r="D752" s="928">
        <v>1</v>
      </c>
      <c r="E752" s="928" t="s">
        <v>1965</v>
      </c>
      <c r="F752" s="1046"/>
      <c r="G752" s="1073"/>
      <c r="H752" s="1076"/>
      <c r="I752" s="873">
        <f>K752/100*60</f>
        <v>23985</v>
      </c>
      <c r="J752" s="873">
        <f>K752/100*40</f>
        <v>15990</v>
      </c>
      <c r="K752" s="873">
        <v>39975</v>
      </c>
    </row>
    <row r="753" spans="1:11" s="902" customFormat="1" ht="108.75" customHeight="1">
      <c r="A753" s="1070" t="s">
        <v>278</v>
      </c>
      <c r="B753" s="1071"/>
      <c r="C753" s="925"/>
      <c r="D753" s="925"/>
      <c r="E753" s="925"/>
      <c r="F753" s="931"/>
      <c r="G753" s="925"/>
      <c r="H753" s="926"/>
      <c r="I753" s="871">
        <f>SUM(I754:I754)</f>
        <v>5580</v>
      </c>
      <c r="J753" s="871">
        <f>SUM(J754:J754)</f>
        <v>3720</v>
      </c>
      <c r="K753" s="871">
        <f>I753+J753</f>
        <v>9300</v>
      </c>
    </row>
    <row r="754" spans="1:11" s="901" customFormat="1" ht="101.25" customHeight="1">
      <c r="A754" s="1068" t="s">
        <v>1953</v>
      </c>
      <c r="B754" s="1069"/>
      <c r="C754" s="928" t="s">
        <v>1966</v>
      </c>
      <c r="D754" s="928">
        <v>7</v>
      </c>
      <c r="E754" s="928" t="s">
        <v>1967</v>
      </c>
      <c r="F754" s="842" t="s">
        <v>2235</v>
      </c>
      <c r="G754" s="956">
        <v>8100</v>
      </c>
      <c r="H754" s="932" t="s">
        <v>2445</v>
      </c>
      <c r="I754" s="873">
        <f>K754/100*60</f>
        <v>5580</v>
      </c>
      <c r="J754" s="873">
        <f>K754/100*40</f>
        <v>3720</v>
      </c>
      <c r="K754" s="873">
        <v>9300</v>
      </c>
    </row>
    <row r="755" spans="1:11" s="902" customFormat="1" ht="108.75" customHeight="1">
      <c r="A755" s="1070" t="s">
        <v>312</v>
      </c>
      <c r="B755" s="1071"/>
      <c r="C755" s="925"/>
      <c r="D755" s="925"/>
      <c r="E755" s="925"/>
      <c r="F755" s="931"/>
      <c r="G755" s="925"/>
      <c r="H755" s="926"/>
      <c r="I755" s="871">
        <f>SUM(I756:I756)</f>
        <v>2400</v>
      </c>
      <c r="J755" s="871">
        <f>SUM(J756:J756)</f>
        <v>1600</v>
      </c>
      <c r="K755" s="871">
        <f>I755+J755</f>
        <v>4000</v>
      </c>
    </row>
    <row r="756" spans="1:11" s="901" customFormat="1" ht="101.25" customHeight="1">
      <c r="A756" s="1068" t="s">
        <v>1957</v>
      </c>
      <c r="B756" s="1069"/>
      <c r="C756" s="928" t="s">
        <v>1968</v>
      </c>
      <c r="D756" s="928">
        <v>2</v>
      </c>
      <c r="E756" s="928" t="s">
        <v>1969</v>
      </c>
      <c r="F756" s="840" t="s">
        <v>2225</v>
      </c>
      <c r="G756" s="956">
        <v>8100</v>
      </c>
      <c r="H756" s="930" t="s">
        <v>2273</v>
      </c>
      <c r="I756" s="873">
        <f>K756/100*60</f>
        <v>2400</v>
      </c>
      <c r="J756" s="873">
        <f>K756/100*40</f>
        <v>1600</v>
      </c>
      <c r="K756" s="873">
        <v>4000</v>
      </c>
    </row>
    <row r="757" spans="1:11" s="951" customFormat="1" ht="67.5" customHeight="1">
      <c r="A757" s="1125"/>
      <c r="B757" s="1126"/>
      <c r="C757" s="947"/>
      <c r="D757" s="947"/>
      <c r="E757" s="948"/>
      <c r="F757" s="949"/>
      <c r="G757" s="950"/>
      <c r="H757" s="950"/>
      <c r="I757" s="742"/>
      <c r="J757" s="742"/>
      <c r="K757" s="742"/>
    </row>
    <row r="758" spans="1:11" s="902" customFormat="1" ht="67.5" customHeight="1">
      <c r="A758" s="1111" t="s">
        <v>37</v>
      </c>
      <c r="B758" s="1112"/>
      <c r="C758" s="983" t="s">
        <v>178</v>
      </c>
      <c r="D758" s="983" t="s">
        <v>179</v>
      </c>
      <c r="E758" s="983" t="s">
        <v>1521</v>
      </c>
      <c r="F758" s="983" t="s">
        <v>14</v>
      </c>
      <c r="G758" s="983" t="s">
        <v>1515</v>
      </c>
      <c r="H758" s="983" t="s">
        <v>16</v>
      </c>
      <c r="I758" s="1108" t="s">
        <v>1490</v>
      </c>
      <c r="J758" s="1108" t="s">
        <v>2506</v>
      </c>
      <c r="K758" s="983" t="s">
        <v>200</v>
      </c>
    </row>
    <row r="759" spans="1:11" s="900" customFormat="1" ht="67.5" customHeight="1">
      <c r="A759" s="1113"/>
      <c r="B759" s="1114"/>
      <c r="C759" s="984"/>
      <c r="D759" s="984"/>
      <c r="E759" s="984"/>
      <c r="F759" s="984"/>
      <c r="G759" s="984"/>
      <c r="H759" s="984"/>
      <c r="I759" s="1108"/>
      <c r="J759" s="1108"/>
      <c r="K759" s="984"/>
    </row>
    <row r="760" spans="1:11" s="900" customFormat="1" ht="108.75" customHeight="1">
      <c r="A760" s="1109" t="s">
        <v>1947</v>
      </c>
      <c r="B760" s="1110"/>
      <c r="C760" s="921"/>
      <c r="D760" s="921"/>
      <c r="E760" s="922"/>
      <c r="F760" s="923"/>
      <c r="G760" s="924"/>
      <c r="H760" s="924"/>
      <c r="I760" s="920">
        <f>I761</f>
        <v>41142.6</v>
      </c>
      <c r="J760" s="920">
        <f>J761</f>
        <v>27428.399999999998</v>
      </c>
      <c r="K760" s="920">
        <f>I760+J760</f>
        <v>68571</v>
      </c>
    </row>
    <row r="761" spans="1:11" s="902" customFormat="1" ht="108.75" customHeight="1">
      <c r="A761" s="1070" t="s">
        <v>1541</v>
      </c>
      <c r="B761" s="1071"/>
      <c r="C761" s="925"/>
      <c r="D761" s="925"/>
      <c r="E761" s="925"/>
      <c r="F761" s="931"/>
      <c r="G761" s="925"/>
      <c r="H761" s="926"/>
      <c r="I761" s="871">
        <f>SUM(I762:I763)</f>
        <v>41142.6</v>
      </c>
      <c r="J761" s="871">
        <f>SUM(J762:J763)</f>
        <v>27428.399999999998</v>
      </c>
      <c r="K761" s="871">
        <f>I761+J761</f>
        <v>68571</v>
      </c>
    </row>
    <row r="762" spans="1:11" s="901" customFormat="1" ht="101.25" customHeight="1">
      <c r="A762" s="1068" t="s">
        <v>1945</v>
      </c>
      <c r="B762" s="1069"/>
      <c r="C762" s="928" t="s">
        <v>1941</v>
      </c>
      <c r="D762" s="928">
        <v>200</v>
      </c>
      <c r="E762" s="928" t="s">
        <v>1942</v>
      </c>
      <c r="F762" s="842" t="s">
        <v>2247</v>
      </c>
      <c r="G762" s="1146">
        <v>8100</v>
      </c>
      <c r="H762" s="1127" t="s">
        <v>2273</v>
      </c>
      <c r="I762" s="873">
        <f>K762/100*60</f>
        <v>39955.199999999997</v>
      </c>
      <c r="J762" s="873">
        <f>K762/100*40</f>
        <v>26636.799999999999</v>
      </c>
      <c r="K762" s="873">
        <v>66592</v>
      </c>
    </row>
    <row r="763" spans="1:11" s="901" customFormat="1" ht="101.25" customHeight="1">
      <c r="A763" s="1068" t="s">
        <v>1946</v>
      </c>
      <c r="B763" s="1069"/>
      <c r="C763" s="928" t="s">
        <v>1943</v>
      </c>
      <c r="D763" s="928">
        <v>11</v>
      </c>
      <c r="E763" s="928" t="s">
        <v>1944</v>
      </c>
      <c r="F763" s="842" t="s">
        <v>2248</v>
      </c>
      <c r="G763" s="1146"/>
      <c r="H763" s="1127"/>
      <c r="I763" s="873">
        <f>K763/100*60</f>
        <v>1187.3999999999999</v>
      </c>
      <c r="J763" s="873">
        <f>K763/100*40</f>
        <v>791.59999999999991</v>
      </c>
      <c r="K763" s="873">
        <v>1979</v>
      </c>
    </row>
    <row r="764" spans="1:11" s="901" customFormat="1" ht="67.5" customHeight="1">
      <c r="A764" s="1066" t="s">
        <v>2455</v>
      </c>
      <c r="B764" s="1066"/>
      <c r="C764" s="1066"/>
      <c r="D764" s="1066"/>
      <c r="E764" s="1066"/>
      <c r="F764" s="1066"/>
      <c r="G764" s="1066"/>
      <c r="H764" s="1066"/>
      <c r="I764" s="903"/>
      <c r="J764" s="903"/>
      <c r="K764" s="903"/>
    </row>
    <row r="765" spans="1:11" s="510" customFormat="1" ht="74.25" customHeight="1">
      <c r="A765" s="753"/>
      <c r="B765" s="753"/>
      <c r="C765" s="754"/>
      <c r="D765" s="754"/>
      <c r="E765" s="754"/>
      <c r="F765" s="755"/>
      <c r="G765" s="758"/>
      <c r="H765" s="756"/>
      <c r="I765" s="757"/>
      <c r="J765" s="757"/>
      <c r="K765" s="757"/>
    </row>
    <row r="766" spans="1:11" ht="45">
      <c r="A766" s="979" t="s">
        <v>2493</v>
      </c>
      <c r="B766" s="979"/>
      <c r="C766" s="979"/>
      <c r="D766" s="979"/>
      <c r="E766" s="979"/>
      <c r="F766" s="979"/>
      <c r="G766" s="979"/>
      <c r="H766" s="979"/>
      <c r="I766" s="979"/>
      <c r="J766" s="979"/>
      <c r="K766" s="979"/>
    </row>
    <row r="767" spans="1:11" ht="45">
      <c r="A767" s="979" t="s">
        <v>52</v>
      </c>
      <c r="B767" s="979"/>
      <c r="C767" s="979"/>
      <c r="D767" s="979"/>
      <c r="E767" s="979"/>
      <c r="F767" s="979"/>
      <c r="G767" s="979"/>
      <c r="H767" s="979"/>
      <c r="I767" s="979"/>
      <c r="J767" s="979"/>
      <c r="K767" s="979"/>
    </row>
    <row r="768" spans="1:11" ht="45">
      <c r="A768" s="1040" t="s">
        <v>50</v>
      </c>
      <c r="B768" s="1040"/>
      <c r="C768" s="1040"/>
      <c r="D768" s="1040"/>
      <c r="E768" s="1040"/>
      <c r="F768" s="1040"/>
      <c r="G768" s="1040"/>
      <c r="H768" s="1040"/>
      <c r="I768" s="1040"/>
      <c r="J768" s="1040"/>
      <c r="K768" s="1040"/>
    </row>
    <row r="769" spans="1:11" ht="44.25">
      <c r="A769" s="736"/>
      <c r="B769" s="736"/>
      <c r="C769" s="736"/>
      <c r="D769" s="736"/>
      <c r="E769" s="736"/>
      <c r="F769" s="736"/>
      <c r="G769" s="838"/>
      <c r="H769" s="838"/>
      <c r="I769" s="838"/>
      <c r="J769" s="838"/>
      <c r="K769" s="838"/>
    </row>
    <row r="770" spans="1:11" ht="45">
      <c r="A770" s="979" t="s">
        <v>1489</v>
      </c>
      <c r="B770" s="979"/>
      <c r="C770" s="979"/>
      <c r="D770" s="979"/>
      <c r="E770" s="979"/>
      <c r="F770" s="979"/>
      <c r="G770" s="979"/>
      <c r="H770" s="979"/>
      <c r="I770" s="979"/>
      <c r="J770" s="979"/>
      <c r="K770" s="979"/>
    </row>
    <row r="771" spans="1:11" s="620" customFormat="1" ht="33">
      <c r="A771" s="65"/>
      <c r="B771" s="65"/>
      <c r="C771" s="65"/>
      <c r="D771" s="65"/>
      <c r="E771" s="65"/>
      <c r="F771" s="65"/>
      <c r="G771" s="68"/>
      <c r="H771" s="68"/>
      <c r="I771" s="68"/>
      <c r="J771" s="68"/>
      <c r="K771" s="68"/>
    </row>
    <row r="772" spans="1:11" ht="20.100000000000001" customHeight="1">
      <c r="A772" s="65"/>
      <c r="B772" s="65"/>
      <c r="C772" s="65"/>
      <c r="D772" s="65"/>
      <c r="E772" s="65"/>
      <c r="F772" s="65"/>
      <c r="G772" s="68"/>
      <c r="H772" s="68"/>
      <c r="I772" s="68"/>
      <c r="J772" s="68"/>
      <c r="K772" s="68"/>
    </row>
    <row r="773" spans="1:11" ht="20.100000000000001" customHeight="1">
      <c r="A773" s="979"/>
      <c r="B773" s="979"/>
      <c r="C773" s="979"/>
      <c r="D773" s="979"/>
      <c r="E773" s="979"/>
      <c r="F773" s="979"/>
      <c r="G773" s="979"/>
      <c r="H773" s="979"/>
      <c r="I773" s="979"/>
      <c r="J773" s="979"/>
      <c r="K773" s="979"/>
    </row>
    <row r="774" spans="1:11" ht="45.75" customHeight="1">
      <c r="A774" s="1030" t="s">
        <v>1382</v>
      </c>
      <c r="B774" s="1030"/>
      <c r="C774" s="1030"/>
      <c r="D774" s="1030"/>
      <c r="E774" s="1030"/>
      <c r="F774" s="1030"/>
      <c r="G774" s="1030"/>
      <c r="H774" s="1030"/>
      <c r="I774" s="1030"/>
      <c r="J774" s="1030"/>
      <c r="K774" s="1030"/>
    </row>
    <row r="775" spans="1:11" s="902" customFormat="1" ht="112.5" customHeight="1">
      <c r="A775" s="1111" t="s">
        <v>37</v>
      </c>
      <c r="B775" s="1112"/>
      <c r="C775" s="983" t="s">
        <v>178</v>
      </c>
      <c r="D775" s="983" t="s">
        <v>179</v>
      </c>
      <c r="E775" s="983" t="s">
        <v>1521</v>
      </c>
      <c r="F775" s="983" t="s">
        <v>14</v>
      </c>
      <c r="G775" s="983" t="s">
        <v>1515</v>
      </c>
      <c r="H775" s="983" t="s">
        <v>16</v>
      </c>
      <c r="I775" s="1108" t="s">
        <v>1490</v>
      </c>
      <c r="J775" s="1108" t="s">
        <v>2506</v>
      </c>
      <c r="K775" s="983" t="s">
        <v>200</v>
      </c>
    </row>
    <row r="776" spans="1:11" s="900" customFormat="1" ht="112.5" customHeight="1">
      <c r="A776" s="1113"/>
      <c r="B776" s="1114"/>
      <c r="C776" s="984"/>
      <c r="D776" s="984"/>
      <c r="E776" s="984"/>
      <c r="F776" s="984"/>
      <c r="G776" s="984"/>
      <c r="H776" s="984"/>
      <c r="I776" s="1108"/>
      <c r="J776" s="1108"/>
      <c r="K776" s="984"/>
    </row>
    <row r="777" spans="1:11" s="900" customFormat="1" ht="112.5" customHeight="1">
      <c r="A777" s="1109" t="s">
        <v>1930</v>
      </c>
      <c r="B777" s="1110"/>
      <c r="C777" s="921"/>
      <c r="D777" s="921"/>
      <c r="E777" s="922"/>
      <c r="F777" s="923"/>
      <c r="G777" s="924"/>
      <c r="H777" s="924"/>
      <c r="I777" s="920">
        <f>I778+I783</f>
        <v>68421.600000000006</v>
      </c>
      <c r="J777" s="920">
        <f>J778+J783</f>
        <v>45614.400000000001</v>
      </c>
      <c r="K777" s="920">
        <f>I777+J777</f>
        <v>114036</v>
      </c>
    </row>
    <row r="778" spans="1:11" s="902" customFormat="1" ht="112.5" customHeight="1">
      <c r="A778" s="1070" t="s">
        <v>1541</v>
      </c>
      <c r="B778" s="1071"/>
      <c r="C778" s="925"/>
      <c r="D778" s="925"/>
      <c r="E778" s="925"/>
      <c r="F778" s="931"/>
      <c r="G778" s="925"/>
      <c r="H778" s="926"/>
      <c r="I778" s="871">
        <f>SUM(I779:I782)</f>
        <v>51321.599999999999</v>
      </c>
      <c r="J778" s="871">
        <f>SUM(J779:J782)</f>
        <v>34214.400000000001</v>
      </c>
      <c r="K778" s="871">
        <f>I778+J778</f>
        <v>85536</v>
      </c>
    </row>
    <row r="779" spans="1:11" s="901" customFormat="1" ht="112.5" customHeight="1">
      <c r="A779" s="1068" t="s">
        <v>1807</v>
      </c>
      <c r="B779" s="1069"/>
      <c r="C779" s="928" t="s">
        <v>1931</v>
      </c>
      <c r="D779" s="928">
        <v>1</v>
      </c>
      <c r="E779" s="928" t="s">
        <v>1932</v>
      </c>
      <c r="F779" s="840" t="s">
        <v>2246</v>
      </c>
      <c r="G779" s="1072">
        <v>8100</v>
      </c>
      <c r="H779" s="1075" t="s">
        <v>2273</v>
      </c>
      <c r="I779" s="873">
        <f>K779/100*60</f>
        <v>5721.6</v>
      </c>
      <c r="J779" s="873">
        <f>K779/100*40</f>
        <v>3814.4</v>
      </c>
      <c r="K779" s="873">
        <v>9536</v>
      </c>
    </row>
    <row r="780" spans="1:11" s="901" customFormat="1" ht="112.5" customHeight="1">
      <c r="A780" s="1068" t="s">
        <v>1852</v>
      </c>
      <c r="B780" s="1069"/>
      <c r="C780" s="928" t="s">
        <v>1801</v>
      </c>
      <c r="D780" s="928">
        <v>12</v>
      </c>
      <c r="E780" s="928" t="s">
        <v>1935</v>
      </c>
      <c r="F780" s="840" t="s">
        <v>2247</v>
      </c>
      <c r="G780" s="1073"/>
      <c r="H780" s="1076"/>
      <c r="I780" s="873">
        <f>K780/100*60</f>
        <v>15000</v>
      </c>
      <c r="J780" s="873">
        <f>K780/100*40</f>
        <v>10000</v>
      </c>
      <c r="K780" s="873">
        <v>25000</v>
      </c>
    </row>
    <row r="781" spans="1:11" s="901" customFormat="1" ht="112.5" customHeight="1">
      <c r="A781" s="1068" t="s">
        <v>1840</v>
      </c>
      <c r="B781" s="1069"/>
      <c r="C781" s="928" t="s">
        <v>1933</v>
      </c>
      <c r="D781" s="928">
        <v>1</v>
      </c>
      <c r="E781" s="928" t="s">
        <v>1680</v>
      </c>
      <c r="F781" s="1104" t="s">
        <v>2248</v>
      </c>
      <c r="G781" s="1073"/>
      <c r="H781" s="1076"/>
      <c r="I781" s="873">
        <f>K781/100*60</f>
        <v>10200</v>
      </c>
      <c r="J781" s="873">
        <f>K781/100*40</f>
        <v>6800</v>
      </c>
      <c r="K781" s="873">
        <v>17000</v>
      </c>
    </row>
    <row r="782" spans="1:11" s="901" customFormat="1" ht="112.5" customHeight="1">
      <c r="A782" s="1068" t="s">
        <v>1929</v>
      </c>
      <c r="B782" s="1069"/>
      <c r="C782" s="928" t="s">
        <v>1934</v>
      </c>
      <c r="D782" s="928">
        <v>5</v>
      </c>
      <c r="E782" s="928" t="s">
        <v>1936</v>
      </c>
      <c r="F782" s="1104"/>
      <c r="G782" s="1073"/>
      <c r="H782" s="1076"/>
      <c r="I782" s="873">
        <f>K782/100*60</f>
        <v>20400</v>
      </c>
      <c r="J782" s="873">
        <f>K782/100*40</f>
        <v>13600</v>
      </c>
      <c r="K782" s="873">
        <v>34000</v>
      </c>
    </row>
    <row r="783" spans="1:11" s="902" customFormat="1" ht="112.5" customHeight="1">
      <c r="A783" s="1070" t="s">
        <v>312</v>
      </c>
      <c r="B783" s="1071"/>
      <c r="C783" s="925"/>
      <c r="D783" s="925"/>
      <c r="E783" s="925"/>
      <c r="F783" s="931"/>
      <c r="G783" s="925"/>
      <c r="H783" s="926"/>
      <c r="I783" s="871">
        <f>SUM(I784:I785)</f>
        <v>17100</v>
      </c>
      <c r="J783" s="871">
        <f>SUM(J784:J785)</f>
        <v>11400</v>
      </c>
      <c r="K783" s="871">
        <f>I783+J783</f>
        <v>28500</v>
      </c>
    </row>
    <row r="784" spans="1:11" s="901" customFormat="1" ht="112.5" customHeight="1">
      <c r="A784" s="1068" t="s">
        <v>1937</v>
      </c>
      <c r="B784" s="1069"/>
      <c r="C784" s="928" t="s">
        <v>1801</v>
      </c>
      <c r="D784" s="928">
        <v>13</v>
      </c>
      <c r="E784" s="928" t="s">
        <v>1939</v>
      </c>
      <c r="F784" s="1044" t="s">
        <v>2225</v>
      </c>
      <c r="G784" s="1072">
        <v>8100</v>
      </c>
      <c r="H784" s="1075" t="s">
        <v>2273</v>
      </c>
      <c r="I784" s="873">
        <f>K784/100*60</f>
        <v>6300</v>
      </c>
      <c r="J784" s="873">
        <f>K784/100*40</f>
        <v>4200</v>
      </c>
      <c r="K784" s="873">
        <v>10500</v>
      </c>
    </row>
    <row r="785" spans="1:11" s="901" customFormat="1" ht="112.5" customHeight="1">
      <c r="A785" s="1068" t="s">
        <v>1938</v>
      </c>
      <c r="B785" s="1069"/>
      <c r="C785" s="928" t="s">
        <v>1934</v>
      </c>
      <c r="D785" s="928">
        <v>8</v>
      </c>
      <c r="E785" s="928" t="s">
        <v>1940</v>
      </c>
      <c r="F785" s="1046"/>
      <c r="G785" s="1074"/>
      <c r="H785" s="1077"/>
      <c r="I785" s="873">
        <f>K785/100*60</f>
        <v>10800</v>
      </c>
      <c r="J785" s="873">
        <f>K785/100*40</f>
        <v>7200</v>
      </c>
      <c r="K785" s="873">
        <v>18000</v>
      </c>
    </row>
    <row r="786" spans="1:11" s="951" customFormat="1" ht="112.5" customHeight="1">
      <c r="A786" s="1125"/>
      <c r="B786" s="1126"/>
      <c r="C786" s="947"/>
      <c r="D786" s="947"/>
      <c r="E786" s="948"/>
      <c r="F786" s="949"/>
      <c r="G786" s="950"/>
      <c r="H786" s="950"/>
      <c r="I786" s="742"/>
      <c r="J786" s="742"/>
      <c r="K786" s="742"/>
    </row>
    <row r="787" spans="1:11" s="902" customFormat="1" ht="112.5" customHeight="1">
      <c r="A787" s="1111" t="s">
        <v>37</v>
      </c>
      <c r="B787" s="1112"/>
      <c r="C787" s="983" t="s">
        <v>178</v>
      </c>
      <c r="D787" s="983" t="s">
        <v>179</v>
      </c>
      <c r="E787" s="983" t="s">
        <v>1521</v>
      </c>
      <c r="F787" s="983" t="s">
        <v>14</v>
      </c>
      <c r="G787" s="983" t="s">
        <v>1515</v>
      </c>
      <c r="H787" s="983" t="s">
        <v>16</v>
      </c>
      <c r="I787" s="1108" t="s">
        <v>1490</v>
      </c>
      <c r="J787" s="1108" t="s">
        <v>2506</v>
      </c>
      <c r="K787" s="983" t="s">
        <v>200</v>
      </c>
    </row>
    <row r="788" spans="1:11" s="900" customFormat="1" ht="112.5" customHeight="1">
      <c r="A788" s="1113"/>
      <c r="B788" s="1114"/>
      <c r="C788" s="984"/>
      <c r="D788" s="984"/>
      <c r="E788" s="984"/>
      <c r="F788" s="984"/>
      <c r="G788" s="984"/>
      <c r="H788" s="984"/>
      <c r="I788" s="1108"/>
      <c r="J788" s="1108"/>
      <c r="K788" s="984"/>
    </row>
    <row r="789" spans="1:11" s="900" customFormat="1" ht="112.5" customHeight="1">
      <c r="A789" s="1109" t="s">
        <v>1948</v>
      </c>
      <c r="B789" s="1110"/>
      <c r="C789" s="921"/>
      <c r="D789" s="921"/>
      <c r="E789" s="922"/>
      <c r="F789" s="923"/>
      <c r="G789" s="924"/>
      <c r="H789" s="924"/>
      <c r="I789" s="920">
        <f>I790+I794</f>
        <v>61584.000000000007</v>
      </c>
      <c r="J789" s="920">
        <f>J790+J794</f>
        <v>41056</v>
      </c>
      <c r="K789" s="920">
        <f>I789+J789</f>
        <v>102640</v>
      </c>
    </row>
    <row r="790" spans="1:11" s="902" customFormat="1" ht="112.5" customHeight="1">
      <c r="A790" s="1070" t="s">
        <v>1541</v>
      </c>
      <c r="B790" s="1071"/>
      <c r="C790" s="925"/>
      <c r="D790" s="925"/>
      <c r="E790" s="925"/>
      <c r="F790" s="931"/>
      <c r="G790" s="925"/>
      <c r="H790" s="926"/>
      <c r="I790" s="871">
        <f>SUM(I791:I793)</f>
        <v>55449.600000000006</v>
      </c>
      <c r="J790" s="871">
        <f>SUM(J791:J793)</f>
        <v>36966.400000000001</v>
      </c>
      <c r="K790" s="871">
        <f>I790+J790</f>
        <v>92416</v>
      </c>
    </row>
    <row r="791" spans="1:11" s="901" customFormat="1" ht="112.5" customHeight="1">
      <c r="A791" s="1068" t="s">
        <v>1949</v>
      </c>
      <c r="B791" s="1069"/>
      <c r="C791" s="928" t="s">
        <v>1544</v>
      </c>
      <c r="D791" s="928"/>
      <c r="E791" s="928" t="s">
        <v>1544</v>
      </c>
      <c r="F791" s="840" t="s">
        <v>2246</v>
      </c>
      <c r="G791" s="1072">
        <v>8100</v>
      </c>
      <c r="H791" s="1075" t="s">
        <v>2273</v>
      </c>
      <c r="I791" s="873">
        <f>K791/100*60</f>
        <v>4800</v>
      </c>
      <c r="J791" s="873">
        <f>K791/100*40</f>
        <v>3200</v>
      </c>
      <c r="K791" s="873">
        <v>8000</v>
      </c>
    </row>
    <row r="792" spans="1:11" s="901" customFormat="1" ht="112.5" customHeight="1">
      <c r="A792" s="1068" t="s">
        <v>1546</v>
      </c>
      <c r="B792" s="1069"/>
      <c r="C792" s="928" t="s">
        <v>1544</v>
      </c>
      <c r="D792" s="928"/>
      <c r="E792" s="928" t="s">
        <v>1544</v>
      </c>
      <c r="F792" s="840" t="s">
        <v>2247</v>
      </c>
      <c r="G792" s="1073"/>
      <c r="H792" s="1076"/>
      <c r="I792" s="873">
        <f>K792/100*60</f>
        <v>24000</v>
      </c>
      <c r="J792" s="873">
        <f>K792/100*40</f>
        <v>16000</v>
      </c>
      <c r="K792" s="873">
        <v>40000</v>
      </c>
    </row>
    <row r="793" spans="1:11" s="901" customFormat="1" ht="112.5" customHeight="1">
      <c r="A793" s="1068" t="s">
        <v>1950</v>
      </c>
      <c r="B793" s="1069"/>
      <c r="C793" s="928" t="s">
        <v>1544</v>
      </c>
      <c r="D793" s="928"/>
      <c r="E793" s="928" t="s">
        <v>1544</v>
      </c>
      <c r="F793" s="840" t="s">
        <v>2248</v>
      </c>
      <c r="G793" s="1073"/>
      <c r="H793" s="1076"/>
      <c r="I793" s="873">
        <f>K793/100*60</f>
        <v>26649.600000000002</v>
      </c>
      <c r="J793" s="873">
        <f>K793/100*40</f>
        <v>17766.400000000001</v>
      </c>
      <c r="K793" s="873">
        <v>44416</v>
      </c>
    </row>
    <row r="794" spans="1:11" s="902" customFormat="1" ht="112.5" customHeight="1">
      <c r="A794" s="1070" t="s">
        <v>312</v>
      </c>
      <c r="B794" s="1071"/>
      <c r="C794" s="925"/>
      <c r="D794" s="925"/>
      <c r="E794" s="925"/>
      <c r="F794" s="931"/>
      <c r="G794" s="925"/>
      <c r="H794" s="926"/>
      <c r="I794" s="871">
        <f>SUM(I795:I795)</f>
        <v>6134.4</v>
      </c>
      <c r="J794" s="871">
        <f>SUM(J795:J795)</f>
        <v>4089.6</v>
      </c>
      <c r="K794" s="871">
        <f>I794+J794</f>
        <v>10224</v>
      </c>
    </row>
    <row r="795" spans="1:11" s="901" customFormat="1" ht="112.5" customHeight="1">
      <c r="A795" s="1068" t="s">
        <v>1951</v>
      </c>
      <c r="B795" s="1069"/>
      <c r="C795" s="928" t="s">
        <v>1544</v>
      </c>
      <c r="D795" s="928"/>
      <c r="E795" s="928" t="s">
        <v>1544</v>
      </c>
      <c r="F795" s="840" t="s">
        <v>2225</v>
      </c>
      <c r="G795" s="956">
        <v>8100</v>
      </c>
      <c r="H795" s="930" t="s">
        <v>2273</v>
      </c>
      <c r="I795" s="873">
        <f>K795/100*60</f>
        <v>6134.4</v>
      </c>
      <c r="J795" s="873">
        <f>K795/100*40</f>
        <v>4089.6</v>
      </c>
      <c r="K795" s="873">
        <v>10224</v>
      </c>
    </row>
    <row r="796" spans="1:11" s="951" customFormat="1" ht="112.5" customHeight="1">
      <c r="A796" s="1125"/>
      <c r="B796" s="1126"/>
      <c r="C796" s="947"/>
      <c r="D796" s="947"/>
      <c r="E796" s="948"/>
      <c r="F796" s="949"/>
      <c r="G796" s="950"/>
      <c r="H796" s="950"/>
      <c r="I796" s="742"/>
      <c r="J796" s="742"/>
      <c r="K796" s="742"/>
    </row>
    <row r="797" spans="1:11" s="902" customFormat="1" ht="112.5" customHeight="1">
      <c r="A797" s="1111" t="s">
        <v>37</v>
      </c>
      <c r="B797" s="1112"/>
      <c r="C797" s="983" t="s">
        <v>178</v>
      </c>
      <c r="D797" s="983" t="s">
        <v>179</v>
      </c>
      <c r="E797" s="983" t="s">
        <v>1521</v>
      </c>
      <c r="F797" s="983" t="s">
        <v>14</v>
      </c>
      <c r="G797" s="983" t="s">
        <v>1515</v>
      </c>
      <c r="H797" s="983" t="s">
        <v>16</v>
      </c>
      <c r="I797" s="1108" t="s">
        <v>1490</v>
      </c>
      <c r="J797" s="1108" t="s">
        <v>2506</v>
      </c>
      <c r="K797" s="983" t="s">
        <v>200</v>
      </c>
    </row>
    <row r="798" spans="1:11" s="900" customFormat="1" ht="112.5" customHeight="1">
      <c r="A798" s="1113"/>
      <c r="B798" s="1114"/>
      <c r="C798" s="984"/>
      <c r="D798" s="984"/>
      <c r="E798" s="984"/>
      <c r="F798" s="984"/>
      <c r="G798" s="984"/>
      <c r="H798" s="984"/>
      <c r="I798" s="1108"/>
      <c r="J798" s="1108"/>
      <c r="K798" s="984"/>
    </row>
    <row r="799" spans="1:11" s="900" customFormat="1" ht="112.5" customHeight="1">
      <c r="A799" s="1109" t="s">
        <v>1879</v>
      </c>
      <c r="B799" s="1110"/>
      <c r="C799" s="921"/>
      <c r="D799" s="921"/>
      <c r="E799" s="922"/>
      <c r="F799" s="923"/>
      <c r="G799" s="924"/>
      <c r="H799" s="924"/>
      <c r="I799" s="920">
        <f>I800+I807</f>
        <v>79675.199999999997</v>
      </c>
      <c r="J799" s="920">
        <f>J800+J807</f>
        <v>53116.800000000003</v>
      </c>
      <c r="K799" s="920">
        <f>I799+J799</f>
        <v>132792</v>
      </c>
    </row>
    <row r="800" spans="1:11" s="902" customFormat="1" ht="112.5" customHeight="1">
      <c r="A800" s="1070" t="s">
        <v>1541</v>
      </c>
      <c r="B800" s="1071"/>
      <c r="C800" s="925"/>
      <c r="D800" s="925"/>
      <c r="E800" s="925"/>
      <c r="F800" s="931"/>
      <c r="G800" s="925"/>
      <c r="H800" s="926"/>
      <c r="I800" s="871">
        <f>SUM(I801:I806)</f>
        <v>77275.199999999997</v>
      </c>
      <c r="J800" s="871">
        <f>SUM(J801:J806)</f>
        <v>51516.800000000003</v>
      </c>
      <c r="K800" s="871">
        <f>I800+J800</f>
        <v>128792</v>
      </c>
    </row>
    <row r="801" spans="1:11" s="901" customFormat="1" ht="112.5" customHeight="1">
      <c r="A801" s="1068" t="s">
        <v>1892</v>
      </c>
      <c r="B801" s="1069"/>
      <c r="C801" s="928" t="s">
        <v>1880</v>
      </c>
      <c r="D801" s="928">
        <v>70</v>
      </c>
      <c r="E801" s="928" t="s">
        <v>1881</v>
      </c>
      <c r="F801" s="840" t="s">
        <v>2246</v>
      </c>
      <c r="G801" s="1072">
        <v>8100</v>
      </c>
      <c r="H801" s="1075" t="s">
        <v>2273</v>
      </c>
      <c r="I801" s="873">
        <f t="shared" ref="I801:I806" si="25">K801/100*60</f>
        <v>8428.7999999999993</v>
      </c>
      <c r="J801" s="873">
        <f t="shared" ref="J801:J806" si="26">K801/100*40</f>
        <v>5619.2</v>
      </c>
      <c r="K801" s="873">
        <v>14048</v>
      </c>
    </row>
    <row r="802" spans="1:11" s="901" customFormat="1" ht="112.5" customHeight="1">
      <c r="A802" s="1068" t="s">
        <v>1893</v>
      </c>
      <c r="B802" s="1069"/>
      <c r="C802" s="928" t="s">
        <v>1882</v>
      </c>
      <c r="D802" s="928">
        <v>60</v>
      </c>
      <c r="E802" s="928" t="s">
        <v>1883</v>
      </c>
      <c r="F802" s="840" t="s">
        <v>2249</v>
      </c>
      <c r="G802" s="1073"/>
      <c r="H802" s="1076"/>
      <c r="I802" s="873">
        <f t="shared" si="25"/>
        <v>28569.600000000002</v>
      </c>
      <c r="J802" s="873">
        <f t="shared" si="26"/>
        <v>19046.400000000001</v>
      </c>
      <c r="K802" s="873">
        <v>47616</v>
      </c>
    </row>
    <row r="803" spans="1:11" s="901" customFormat="1" ht="112.5" customHeight="1">
      <c r="A803" s="1068" t="s">
        <v>1894</v>
      </c>
      <c r="B803" s="1069"/>
      <c r="C803" s="928" t="s">
        <v>1884</v>
      </c>
      <c r="D803" s="928">
        <v>80</v>
      </c>
      <c r="E803" s="928" t="s">
        <v>1885</v>
      </c>
      <c r="F803" s="840" t="s">
        <v>2247</v>
      </c>
      <c r="G803" s="1073"/>
      <c r="H803" s="1076"/>
      <c r="I803" s="873">
        <f t="shared" si="25"/>
        <v>5400</v>
      </c>
      <c r="J803" s="873">
        <f t="shared" si="26"/>
        <v>3600</v>
      </c>
      <c r="K803" s="873">
        <v>9000</v>
      </c>
    </row>
    <row r="804" spans="1:11" s="901" customFormat="1" ht="112.5" customHeight="1">
      <c r="A804" s="1068" t="s">
        <v>1895</v>
      </c>
      <c r="B804" s="1069"/>
      <c r="C804" s="928" t="s">
        <v>1886</v>
      </c>
      <c r="D804" s="928">
        <v>70</v>
      </c>
      <c r="E804" s="929" t="s">
        <v>1887</v>
      </c>
      <c r="F804" s="1104" t="s">
        <v>2248</v>
      </c>
      <c r="G804" s="1073"/>
      <c r="H804" s="1076"/>
      <c r="I804" s="873">
        <f t="shared" si="25"/>
        <v>3000</v>
      </c>
      <c r="J804" s="873">
        <f t="shared" si="26"/>
        <v>2000</v>
      </c>
      <c r="K804" s="873">
        <v>5000</v>
      </c>
    </row>
    <row r="805" spans="1:11" s="901" customFormat="1" ht="112.5" customHeight="1">
      <c r="A805" s="1068" t="s">
        <v>1896</v>
      </c>
      <c r="B805" s="1069"/>
      <c r="C805" s="928" t="s">
        <v>1888</v>
      </c>
      <c r="D805" s="928">
        <v>80</v>
      </c>
      <c r="E805" s="929" t="s">
        <v>1889</v>
      </c>
      <c r="F805" s="1104"/>
      <c r="G805" s="1073"/>
      <c r="H805" s="1076"/>
      <c r="I805" s="873">
        <f t="shared" si="25"/>
        <v>14181</v>
      </c>
      <c r="J805" s="873">
        <f t="shared" si="26"/>
        <v>9454</v>
      </c>
      <c r="K805" s="873">
        <v>23635</v>
      </c>
    </row>
    <row r="806" spans="1:11" s="901" customFormat="1" ht="112.5" customHeight="1">
      <c r="A806" s="1068" t="s">
        <v>1897</v>
      </c>
      <c r="B806" s="1069"/>
      <c r="C806" s="928" t="s">
        <v>1890</v>
      </c>
      <c r="D806" s="928">
        <v>80</v>
      </c>
      <c r="E806" s="928" t="s">
        <v>1891</v>
      </c>
      <c r="F806" s="1104"/>
      <c r="G806" s="1073"/>
      <c r="H806" s="1076"/>
      <c r="I806" s="873">
        <f t="shared" si="25"/>
        <v>17695.8</v>
      </c>
      <c r="J806" s="873">
        <f t="shared" si="26"/>
        <v>11797.2</v>
      </c>
      <c r="K806" s="873">
        <v>29493</v>
      </c>
    </row>
    <row r="807" spans="1:11" s="902" customFormat="1" ht="112.5" customHeight="1">
      <c r="A807" s="1070" t="s">
        <v>312</v>
      </c>
      <c r="B807" s="1071"/>
      <c r="C807" s="925"/>
      <c r="D807" s="925"/>
      <c r="E807" s="925"/>
      <c r="F807" s="931"/>
      <c r="G807" s="925"/>
      <c r="H807" s="926"/>
      <c r="I807" s="871">
        <f>SUM(I808:I808)</f>
        <v>2400</v>
      </c>
      <c r="J807" s="871">
        <f>SUM(J808:J808)</f>
        <v>1600</v>
      </c>
      <c r="K807" s="871">
        <f>I807+J807</f>
        <v>4000</v>
      </c>
    </row>
    <row r="808" spans="1:11" s="901" customFormat="1" ht="150" customHeight="1">
      <c r="A808" s="1068" t="s">
        <v>1898</v>
      </c>
      <c r="B808" s="1069"/>
      <c r="C808" s="928" t="s">
        <v>1900</v>
      </c>
      <c r="D808" s="928">
        <v>70</v>
      </c>
      <c r="E808" s="928" t="s">
        <v>1899</v>
      </c>
      <c r="F808" s="842" t="s">
        <v>2225</v>
      </c>
      <c r="G808" s="929">
        <v>8100</v>
      </c>
      <c r="H808" s="932" t="s">
        <v>2273</v>
      </c>
      <c r="I808" s="873">
        <f>K808/100*60</f>
        <v>2400</v>
      </c>
      <c r="J808" s="873">
        <f>K808/100*40</f>
        <v>1600</v>
      </c>
      <c r="K808" s="873">
        <v>4000</v>
      </c>
    </row>
    <row r="809" spans="1:11" s="901" customFormat="1" ht="112.5" customHeight="1">
      <c r="A809" s="1066" t="s">
        <v>2455</v>
      </c>
      <c r="B809" s="1066"/>
      <c r="C809" s="1066"/>
      <c r="D809" s="1066"/>
      <c r="E809" s="1066"/>
      <c r="F809" s="1066"/>
      <c r="G809" s="1066"/>
      <c r="H809" s="1066"/>
      <c r="I809" s="903"/>
      <c r="J809" s="903"/>
      <c r="K809" s="903"/>
    </row>
    <row r="810" spans="1:11" ht="45">
      <c r="A810" s="979" t="s">
        <v>2493</v>
      </c>
      <c r="B810" s="979"/>
      <c r="C810" s="979"/>
      <c r="D810" s="979"/>
      <c r="E810" s="979"/>
      <c r="F810" s="979"/>
      <c r="G810" s="979"/>
      <c r="H810" s="979"/>
      <c r="I810" s="979"/>
      <c r="J810" s="979"/>
      <c r="K810" s="979"/>
    </row>
    <row r="811" spans="1:11" ht="45">
      <c r="A811" s="979" t="s">
        <v>52</v>
      </c>
      <c r="B811" s="979"/>
      <c r="C811" s="979"/>
      <c r="D811" s="979"/>
      <c r="E811" s="979"/>
      <c r="F811" s="979"/>
      <c r="G811" s="979"/>
      <c r="H811" s="979"/>
      <c r="I811" s="979"/>
      <c r="J811" s="979"/>
      <c r="K811" s="979"/>
    </row>
    <row r="812" spans="1:11" ht="45">
      <c r="A812" s="1040" t="s">
        <v>50</v>
      </c>
      <c r="B812" s="1040"/>
      <c r="C812" s="1040"/>
      <c r="D812" s="1040"/>
      <c r="E812" s="1040"/>
      <c r="F812" s="1040"/>
      <c r="G812" s="1040"/>
      <c r="H812" s="1040"/>
      <c r="I812" s="1040"/>
      <c r="J812" s="1040"/>
      <c r="K812" s="1040"/>
    </row>
    <row r="813" spans="1:11" ht="44.25">
      <c r="A813" s="736"/>
      <c r="B813" s="736"/>
      <c r="C813" s="736"/>
      <c r="D813" s="736"/>
      <c r="E813" s="736"/>
      <c r="F813" s="736"/>
      <c r="G813" s="838"/>
      <c r="H813" s="838"/>
      <c r="I813" s="838"/>
      <c r="J813" s="838"/>
      <c r="K813" s="838"/>
    </row>
    <row r="814" spans="1:11" ht="45">
      <c r="A814" s="979" t="s">
        <v>1489</v>
      </c>
      <c r="B814" s="979"/>
      <c r="C814" s="979"/>
      <c r="D814" s="979"/>
      <c r="E814" s="979"/>
      <c r="F814" s="979"/>
      <c r="G814" s="979"/>
      <c r="H814" s="979"/>
      <c r="I814" s="979"/>
      <c r="J814" s="979"/>
      <c r="K814" s="979"/>
    </row>
    <row r="815" spans="1:11" s="620" customFormat="1" ht="33">
      <c r="A815" s="65"/>
      <c r="B815" s="65"/>
      <c r="C815" s="65"/>
      <c r="D815" s="65"/>
      <c r="E815" s="65"/>
      <c r="F815" s="65"/>
      <c r="G815" s="68"/>
      <c r="H815" s="68"/>
      <c r="I815" s="68"/>
      <c r="J815" s="68"/>
      <c r="K815" s="68"/>
    </row>
    <row r="816" spans="1:11" ht="20.100000000000001" customHeight="1">
      <c r="A816" s="65"/>
      <c r="B816" s="65"/>
      <c r="C816" s="65"/>
      <c r="D816" s="65"/>
      <c r="E816" s="65"/>
      <c r="F816" s="65"/>
      <c r="G816" s="68"/>
      <c r="H816" s="68"/>
      <c r="I816" s="68"/>
      <c r="J816" s="68"/>
      <c r="K816" s="68"/>
    </row>
    <row r="817" spans="1:11" ht="20.100000000000001" customHeight="1">
      <c r="A817" s="979"/>
      <c r="B817" s="979"/>
      <c r="C817" s="979"/>
      <c r="D817" s="979"/>
      <c r="E817" s="979"/>
      <c r="F817" s="979"/>
      <c r="G817" s="979"/>
      <c r="H817" s="979"/>
      <c r="I817" s="979"/>
      <c r="J817" s="979"/>
      <c r="K817" s="979"/>
    </row>
    <row r="818" spans="1:11" ht="45.75" customHeight="1">
      <c r="A818" s="1030" t="s">
        <v>1382</v>
      </c>
      <c r="B818" s="1030"/>
      <c r="C818" s="1030"/>
      <c r="D818" s="1030"/>
      <c r="E818" s="1030"/>
      <c r="F818" s="1030"/>
      <c r="G818" s="1030"/>
      <c r="H818" s="1030"/>
      <c r="I818" s="1030"/>
      <c r="J818" s="1030"/>
      <c r="K818" s="1030"/>
    </row>
    <row r="819" spans="1:11" s="902" customFormat="1" ht="116.25" customHeight="1">
      <c r="A819" s="1111" t="s">
        <v>37</v>
      </c>
      <c r="B819" s="1112"/>
      <c r="C819" s="983" t="s">
        <v>178</v>
      </c>
      <c r="D819" s="983" t="s">
        <v>179</v>
      </c>
      <c r="E819" s="983" t="s">
        <v>1521</v>
      </c>
      <c r="F819" s="983" t="s">
        <v>14</v>
      </c>
      <c r="G819" s="983" t="s">
        <v>1515</v>
      </c>
      <c r="H819" s="983" t="s">
        <v>16</v>
      </c>
      <c r="I819" s="1108" t="s">
        <v>1490</v>
      </c>
      <c r="J819" s="1108" t="s">
        <v>2506</v>
      </c>
      <c r="K819" s="983" t="s">
        <v>200</v>
      </c>
    </row>
    <row r="820" spans="1:11" s="900" customFormat="1" ht="116.25" customHeight="1">
      <c r="A820" s="1113"/>
      <c r="B820" s="1114"/>
      <c r="C820" s="984"/>
      <c r="D820" s="984"/>
      <c r="E820" s="984"/>
      <c r="F820" s="984"/>
      <c r="G820" s="984"/>
      <c r="H820" s="984"/>
      <c r="I820" s="1108"/>
      <c r="J820" s="1108"/>
      <c r="K820" s="984"/>
    </row>
    <row r="821" spans="1:11" s="900" customFormat="1" ht="116.25" customHeight="1">
      <c r="A821" s="1109" t="s">
        <v>1901</v>
      </c>
      <c r="B821" s="1110"/>
      <c r="C821" s="921"/>
      <c r="D821" s="921"/>
      <c r="E821" s="922"/>
      <c r="F821" s="923"/>
      <c r="G821" s="924"/>
      <c r="H821" s="924"/>
      <c r="I821" s="920">
        <f>I822+I834+I832</f>
        <v>44001.468000000001</v>
      </c>
      <c r="J821" s="920">
        <f>J822+J834+J832</f>
        <v>29334.311999999998</v>
      </c>
      <c r="K821" s="920">
        <f>I821+J821</f>
        <v>73335.78</v>
      </c>
    </row>
    <row r="822" spans="1:11" s="902" customFormat="1" ht="116.25" customHeight="1">
      <c r="A822" s="1070" t="s">
        <v>1541</v>
      </c>
      <c r="B822" s="1071"/>
      <c r="C822" s="925"/>
      <c r="D822" s="925"/>
      <c r="E822" s="925"/>
      <c r="F822" s="931"/>
      <c r="G822" s="925"/>
      <c r="H822" s="926"/>
      <c r="I822" s="871">
        <f>SUM(I823:I831)</f>
        <v>32527.601999999999</v>
      </c>
      <c r="J822" s="871">
        <f>SUM(J823:J831)</f>
        <v>21685.067999999999</v>
      </c>
      <c r="K822" s="871">
        <f>I822+J822</f>
        <v>54212.67</v>
      </c>
    </row>
    <row r="823" spans="1:11" s="901" customFormat="1" ht="116.25" customHeight="1">
      <c r="A823" s="1068" t="s">
        <v>1919</v>
      </c>
      <c r="B823" s="1069"/>
      <c r="C823" s="928" t="s">
        <v>1904</v>
      </c>
      <c r="D823" s="928">
        <v>6</v>
      </c>
      <c r="E823" s="928" t="s">
        <v>1905</v>
      </c>
      <c r="F823" s="1044" t="s">
        <v>2246</v>
      </c>
      <c r="G823" s="1072">
        <v>8100</v>
      </c>
      <c r="H823" s="1075" t="s">
        <v>2273</v>
      </c>
      <c r="I823" s="873">
        <f t="shared" ref="I823:I831" si="27">K823/100*60</f>
        <v>360</v>
      </c>
      <c r="J823" s="873">
        <f t="shared" ref="J823:J831" si="28">K823/100*40</f>
        <v>240</v>
      </c>
      <c r="K823" s="873">
        <v>600</v>
      </c>
    </row>
    <row r="824" spans="1:11" s="901" customFormat="1" ht="116.25" customHeight="1">
      <c r="A824" s="1068" t="s">
        <v>1920</v>
      </c>
      <c r="B824" s="1069"/>
      <c r="C824" s="928" t="s">
        <v>1906</v>
      </c>
      <c r="D824" s="928">
        <v>4</v>
      </c>
      <c r="E824" s="928" t="s">
        <v>1907</v>
      </c>
      <c r="F824" s="1046"/>
      <c r="G824" s="1073"/>
      <c r="H824" s="1076"/>
      <c r="I824" s="873">
        <f t="shared" si="27"/>
        <v>3780</v>
      </c>
      <c r="J824" s="873">
        <f t="shared" si="28"/>
        <v>2520</v>
      </c>
      <c r="K824" s="873">
        <v>6300</v>
      </c>
    </row>
    <row r="825" spans="1:11" s="901" customFormat="1" ht="116.25" customHeight="1">
      <c r="A825" s="1068" t="s">
        <v>1606</v>
      </c>
      <c r="B825" s="1069"/>
      <c r="C825" s="928" t="s">
        <v>1908</v>
      </c>
      <c r="D825" s="928">
        <v>16</v>
      </c>
      <c r="E825" s="928" t="s">
        <v>1905</v>
      </c>
      <c r="F825" s="1044" t="s">
        <v>2247</v>
      </c>
      <c r="G825" s="1073"/>
      <c r="H825" s="1076"/>
      <c r="I825" s="873">
        <f t="shared" si="27"/>
        <v>3563.58</v>
      </c>
      <c r="J825" s="873">
        <f t="shared" si="28"/>
        <v>2375.7200000000003</v>
      </c>
      <c r="K825" s="873">
        <v>5939.3</v>
      </c>
    </row>
    <row r="826" spans="1:11" s="901" customFormat="1" ht="116.25" customHeight="1">
      <c r="A826" s="1068" t="s">
        <v>1921</v>
      </c>
      <c r="B826" s="1069"/>
      <c r="C826" s="928" t="s">
        <v>1908</v>
      </c>
      <c r="D826" s="928">
        <v>16</v>
      </c>
      <c r="E826" s="928" t="s">
        <v>1905</v>
      </c>
      <c r="F826" s="1045"/>
      <c r="G826" s="1073"/>
      <c r="H826" s="1076"/>
      <c r="I826" s="873">
        <f t="shared" si="27"/>
        <v>322.42200000000003</v>
      </c>
      <c r="J826" s="873">
        <f t="shared" si="28"/>
        <v>214.94800000000001</v>
      </c>
      <c r="K826" s="873">
        <v>537.37</v>
      </c>
    </row>
    <row r="827" spans="1:11" s="901" customFormat="1" ht="116.25" customHeight="1">
      <c r="A827" s="1068" t="s">
        <v>1922</v>
      </c>
      <c r="B827" s="1069"/>
      <c r="C827" s="928" t="s">
        <v>1909</v>
      </c>
      <c r="D827" s="928">
        <v>450</v>
      </c>
      <c r="E827" s="928" t="s">
        <v>1905</v>
      </c>
      <c r="F827" s="1046"/>
      <c r="G827" s="1073"/>
      <c r="H827" s="1076"/>
      <c r="I827" s="873">
        <f t="shared" si="27"/>
        <v>2160</v>
      </c>
      <c r="J827" s="873">
        <f t="shared" si="28"/>
        <v>1440</v>
      </c>
      <c r="K827" s="873">
        <v>3600</v>
      </c>
    </row>
    <row r="828" spans="1:11" s="901" customFormat="1" ht="116.25" customHeight="1">
      <c r="A828" s="1068" t="s">
        <v>1902</v>
      </c>
      <c r="B828" s="1069"/>
      <c r="C828" s="928" t="s">
        <v>1910</v>
      </c>
      <c r="D828" s="928">
        <v>2</v>
      </c>
      <c r="E828" s="928" t="s">
        <v>1905</v>
      </c>
      <c r="F828" s="1044" t="s">
        <v>2248</v>
      </c>
      <c r="G828" s="1073"/>
      <c r="H828" s="1076"/>
      <c r="I828" s="873">
        <f t="shared" si="27"/>
        <v>5100</v>
      </c>
      <c r="J828" s="873">
        <f t="shared" si="28"/>
        <v>3400</v>
      </c>
      <c r="K828" s="873">
        <v>8500</v>
      </c>
    </row>
    <row r="829" spans="1:11" s="901" customFormat="1" ht="116.25" customHeight="1">
      <c r="A829" s="1068" t="s">
        <v>1923</v>
      </c>
      <c r="B829" s="1069"/>
      <c r="C829" s="928" t="s">
        <v>1911</v>
      </c>
      <c r="D829" s="928">
        <v>8</v>
      </c>
      <c r="E829" s="928" t="s">
        <v>1905</v>
      </c>
      <c r="F829" s="1045"/>
      <c r="G829" s="1073"/>
      <c r="H829" s="1076"/>
      <c r="I829" s="873">
        <f t="shared" si="27"/>
        <v>960</v>
      </c>
      <c r="J829" s="873">
        <f t="shared" si="28"/>
        <v>640</v>
      </c>
      <c r="K829" s="873">
        <v>1600</v>
      </c>
    </row>
    <row r="830" spans="1:11" s="901" customFormat="1" ht="116.25" customHeight="1">
      <c r="A830" s="1068" t="s">
        <v>1924</v>
      </c>
      <c r="B830" s="1069"/>
      <c r="C830" s="928" t="s">
        <v>1912</v>
      </c>
      <c r="D830" s="928">
        <v>100</v>
      </c>
      <c r="E830" s="928" t="s">
        <v>1913</v>
      </c>
      <c r="F830" s="1045"/>
      <c r="G830" s="1073"/>
      <c r="H830" s="1076"/>
      <c r="I830" s="873">
        <f t="shared" si="27"/>
        <v>4833.6000000000004</v>
      </c>
      <c r="J830" s="873">
        <f t="shared" si="28"/>
        <v>3222.4</v>
      </c>
      <c r="K830" s="873">
        <v>8056</v>
      </c>
    </row>
    <row r="831" spans="1:11" s="901" customFormat="1" ht="116.25" customHeight="1">
      <c r="A831" s="1068" t="s">
        <v>1925</v>
      </c>
      <c r="B831" s="1069"/>
      <c r="C831" s="928" t="s">
        <v>1914</v>
      </c>
      <c r="D831" s="928">
        <v>36</v>
      </c>
      <c r="E831" s="928" t="s">
        <v>1913</v>
      </c>
      <c r="F831" s="1046"/>
      <c r="G831" s="1074"/>
      <c r="H831" s="1077"/>
      <c r="I831" s="873">
        <f t="shared" si="27"/>
        <v>11448</v>
      </c>
      <c r="J831" s="873">
        <f t="shared" si="28"/>
        <v>7632</v>
      </c>
      <c r="K831" s="873">
        <v>19080</v>
      </c>
    </row>
    <row r="832" spans="1:11" s="902" customFormat="1" ht="116.25" customHeight="1">
      <c r="A832" s="1070" t="s">
        <v>278</v>
      </c>
      <c r="B832" s="1071"/>
      <c r="C832" s="925"/>
      <c r="D832" s="925"/>
      <c r="E832" s="925"/>
      <c r="F832" s="931"/>
      <c r="G832" s="925"/>
      <c r="H832" s="926"/>
      <c r="I832" s="871">
        <f>SUM(I833:I833)</f>
        <v>2520</v>
      </c>
      <c r="J832" s="871">
        <f>SUM(J833:J833)</f>
        <v>1680</v>
      </c>
      <c r="K832" s="871">
        <f>I832+J832</f>
        <v>4200</v>
      </c>
    </row>
    <row r="833" spans="1:11" s="901" customFormat="1" ht="116.25" customHeight="1">
      <c r="A833" s="1068" t="s">
        <v>1903</v>
      </c>
      <c r="B833" s="1069"/>
      <c r="C833" s="928" t="s">
        <v>1215</v>
      </c>
      <c r="D833" s="928">
        <v>4</v>
      </c>
      <c r="E833" s="928" t="s">
        <v>1915</v>
      </c>
      <c r="F833" s="842" t="s">
        <v>2235</v>
      </c>
      <c r="G833" s="956">
        <v>8100</v>
      </c>
      <c r="H833" s="932" t="s">
        <v>2445</v>
      </c>
      <c r="I833" s="873">
        <f>K833/100*60</f>
        <v>2520</v>
      </c>
      <c r="J833" s="873">
        <f>K833/100*40</f>
        <v>1680</v>
      </c>
      <c r="K833" s="873">
        <v>4200</v>
      </c>
    </row>
    <row r="834" spans="1:11" s="902" customFormat="1" ht="116.25" customHeight="1">
      <c r="A834" s="1070" t="s">
        <v>312</v>
      </c>
      <c r="B834" s="1071"/>
      <c r="C834" s="925"/>
      <c r="D834" s="925"/>
      <c r="E834" s="925"/>
      <c r="F834" s="931"/>
      <c r="G834" s="925"/>
      <c r="H834" s="926"/>
      <c r="I834" s="871">
        <f>SUM(I835:I837)</f>
        <v>8953.866</v>
      </c>
      <c r="J834" s="871">
        <f>SUM(J835:J837)</f>
        <v>5969.2439999999997</v>
      </c>
      <c r="K834" s="871">
        <f>I834+J834</f>
        <v>14923.11</v>
      </c>
    </row>
    <row r="835" spans="1:11" s="901" customFormat="1" ht="116.25" customHeight="1">
      <c r="A835" s="1068" t="s">
        <v>1926</v>
      </c>
      <c r="B835" s="1069"/>
      <c r="C835" s="928" t="s">
        <v>1916</v>
      </c>
      <c r="D835" s="928">
        <v>8</v>
      </c>
      <c r="E835" s="928" t="s">
        <v>1917</v>
      </c>
      <c r="F835" s="1044" t="s">
        <v>2225</v>
      </c>
      <c r="G835" s="1072">
        <v>8100</v>
      </c>
      <c r="H835" s="1075" t="s">
        <v>2273</v>
      </c>
      <c r="I835" s="873">
        <f>K835/100*60</f>
        <v>4200</v>
      </c>
      <c r="J835" s="873">
        <f>K835/100*40</f>
        <v>2800</v>
      </c>
      <c r="K835" s="873">
        <v>7000</v>
      </c>
    </row>
    <row r="836" spans="1:11" s="901" customFormat="1" ht="116.25" customHeight="1">
      <c r="A836" s="1068" t="s">
        <v>1927</v>
      </c>
      <c r="B836" s="1069"/>
      <c r="C836" s="928" t="s">
        <v>1918</v>
      </c>
      <c r="D836" s="928">
        <v>9</v>
      </c>
      <c r="E836" s="928" t="s">
        <v>1917</v>
      </c>
      <c r="F836" s="1045"/>
      <c r="G836" s="1073"/>
      <c r="H836" s="1076"/>
      <c r="I836" s="873">
        <f>K836/100*60</f>
        <v>1800</v>
      </c>
      <c r="J836" s="873">
        <f>K836/100*40</f>
        <v>1200</v>
      </c>
      <c r="K836" s="873">
        <v>3000</v>
      </c>
    </row>
    <row r="837" spans="1:11" s="901" customFormat="1" ht="116.25" customHeight="1">
      <c r="A837" s="1068" t="s">
        <v>1928</v>
      </c>
      <c r="B837" s="1069"/>
      <c r="C837" s="928" t="s">
        <v>1908</v>
      </c>
      <c r="D837" s="928">
        <v>16</v>
      </c>
      <c r="E837" s="928" t="s">
        <v>1905</v>
      </c>
      <c r="F837" s="1046"/>
      <c r="G837" s="1074"/>
      <c r="H837" s="1077"/>
      <c r="I837" s="873">
        <f>K837/100*60</f>
        <v>2953.866</v>
      </c>
      <c r="J837" s="873">
        <f>K837/100*40</f>
        <v>1969.2439999999999</v>
      </c>
      <c r="K837" s="873">
        <v>4923.1099999999997</v>
      </c>
    </row>
    <row r="838" spans="1:11" s="902" customFormat="1" ht="116.25" customHeight="1">
      <c r="A838" s="1066" t="s">
        <v>2455</v>
      </c>
      <c r="B838" s="1066"/>
      <c r="C838" s="1066"/>
      <c r="D838" s="1066"/>
      <c r="E838" s="1066"/>
      <c r="F838" s="1066"/>
      <c r="G838" s="1066"/>
      <c r="H838" s="1066"/>
      <c r="I838" s="1066"/>
      <c r="J838" s="1066"/>
      <c r="K838" s="1066"/>
    </row>
    <row r="839" spans="1:11" ht="54.75" customHeight="1">
      <c r="A839" s="528"/>
      <c r="B839" s="529"/>
      <c r="C839" s="529"/>
      <c r="D839" s="530"/>
      <c r="E839" s="531"/>
      <c r="F839" s="532"/>
      <c r="G839" s="533"/>
      <c r="H839" s="534"/>
      <c r="I839" s="535"/>
      <c r="J839" s="535"/>
      <c r="K839" s="535"/>
    </row>
    <row r="840" spans="1:11" ht="45">
      <c r="A840" s="979" t="s">
        <v>2493</v>
      </c>
      <c r="B840" s="979"/>
      <c r="C840" s="979"/>
      <c r="D840" s="979"/>
      <c r="E840" s="979"/>
      <c r="F840" s="979"/>
      <c r="G840" s="979"/>
      <c r="H840" s="979"/>
      <c r="I840" s="979"/>
      <c r="J840" s="979"/>
      <c r="K840" s="979"/>
    </row>
    <row r="841" spans="1:11" ht="45">
      <c r="A841" s="979" t="s">
        <v>52</v>
      </c>
      <c r="B841" s="979"/>
      <c r="C841" s="979"/>
      <c r="D841" s="979"/>
      <c r="E841" s="979"/>
      <c r="F841" s="979"/>
      <c r="G841" s="979"/>
      <c r="H841" s="979"/>
      <c r="I841" s="979"/>
      <c r="J841" s="979"/>
      <c r="K841" s="979"/>
    </row>
    <row r="842" spans="1:11" ht="45">
      <c r="A842" s="1040" t="s">
        <v>50</v>
      </c>
      <c r="B842" s="1040"/>
      <c r="C842" s="1040"/>
      <c r="D842" s="1040"/>
      <c r="E842" s="1040"/>
      <c r="F842" s="1040"/>
      <c r="G842" s="1040"/>
      <c r="H842" s="1040"/>
      <c r="I842" s="1040"/>
      <c r="J842" s="1040"/>
      <c r="K842" s="1040"/>
    </row>
    <row r="843" spans="1:11" ht="44.25">
      <c r="A843" s="736"/>
      <c r="B843" s="736"/>
      <c r="C843" s="736"/>
      <c r="D843" s="736"/>
      <c r="E843" s="736"/>
      <c r="F843" s="736"/>
      <c r="G843" s="838"/>
      <c r="H843" s="838"/>
      <c r="I843" s="838"/>
      <c r="J843" s="838"/>
      <c r="K843" s="838"/>
    </row>
    <row r="844" spans="1:11" ht="45">
      <c r="A844" s="979" t="s">
        <v>1489</v>
      </c>
      <c r="B844" s="979"/>
      <c r="C844" s="979"/>
      <c r="D844" s="979"/>
      <c r="E844" s="979"/>
      <c r="F844" s="979"/>
      <c r="G844" s="979"/>
      <c r="H844" s="979"/>
      <c r="I844" s="979"/>
      <c r="J844" s="979"/>
      <c r="K844" s="979"/>
    </row>
    <row r="845" spans="1:11" s="620" customFormat="1" ht="33">
      <c r="A845" s="65"/>
      <c r="B845" s="65"/>
      <c r="C845" s="65"/>
      <c r="D845" s="65"/>
      <c r="E845" s="65"/>
      <c r="F845" s="65"/>
      <c r="G845" s="68"/>
      <c r="H845" s="68"/>
      <c r="I845" s="68"/>
      <c r="J845" s="68"/>
      <c r="K845" s="68"/>
    </row>
    <row r="846" spans="1:11" ht="20.100000000000001" customHeight="1">
      <c r="A846" s="65"/>
      <c r="B846" s="65"/>
      <c r="C846" s="65"/>
      <c r="D846" s="65"/>
      <c r="E846" s="65"/>
      <c r="F846" s="65"/>
      <c r="G846" s="68"/>
      <c r="H846" s="68"/>
      <c r="I846" s="68"/>
      <c r="J846" s="68"/>
      <c r="K846" s="68"/>
    </row>
    <row r="847" spans="1:11" ht="20.100000000000001" customHeight="1">
      <c r="A847" s="979"/>
      <c r="B847" s="979"/>
      <c r="C847" s="979"/>
      <c r="D847" s="979"/>
      <c r="E847" s="979"/>
      <c r="F847" s="979"/>
      <c r="G847" s="979"/>
      <c r="H847" s="979"/>
      <c r="I847" s="979"/>
      <c r="J847" s="979"/>
      <c r="K847" s="979"/>
    </row>
    <row r="848" spans="1:11" ht="45.75" customHeight="1">
      <c r="A848" s="1030" t="s">
        <v>1382</v>
      </c>
      <c r="B848" s="1030"/>
      <c r="C848" s="1030"/>
      <c r="D848" s="1030"/>
      <c r="E848" s="1030"/>
      <c r="F848" s="1030"/>
      <c r="G848" s="1030"/>
      <c r="H848" s="1030"/>
      <c r="I848" s="1030"/>
      <c r="J848" s="1030"/>
      <c r="K848" s="1030"/>
    </row>
    <row r="849" spans="1:11" s="902" customFormat="1" ht="115.5" customHeight="1">
      <c r="A849" s="1111" t="s">
        <v>37</v>
      </c>
      <c r="B849" s="1112"/>
      <c r="C849" s="983" t="s">
        <v>178</v>
      </c>
      <c r="D849" s="983" t="s">
        <v>179</v>
      </c>
      <c r="E849" s="983" t="s">
        <v>1521</v>
      </c>
      <c r="F849" s="983" t="s">
        <v>14</v>
      </c>
      <c r="G849" s="983" t="s">
        <v>1515</v>
      </c>
      <c r="H849" s="983" t="s">
        <v>16</v>
      </c>
      <c r="I849" s="1108" t="s">
        <v>1490</v>
      </c>
      <c r="J849" s="1108" t="s">
        <v>2506</v>
      </c>
      <c r="K849" s="983" t="s">
        <v>200</v>
      </c>
    </row>
    <row r="850" spans="1:11" s="900" customFormat="1" ht="115.5" customHeight="1">
      <c r="A850" s="1113"/>
      <c r="B850" s="1114"/>
      <c r="C850" s="984"/>
      <c r="D850" s="984"/>
      <c r="E850" s="984"/>
      <c r="F850" s="984"/>
      <c r="G850" s="984"/>
      <c r="H850" s="984"/>
      <c r="I850" s="1108"/>
      <c r="J850" s="1108"/>
      <c r="K850" s="984"/>
    </row>
    <row r="851" spans="1:11" s="900" customFormat="1" ht="115.5" customHeight="1">
      <c r="A851" s="1109" t="s">
        <v>1982</v>
      </c>
      <c r="B851" s="1110"/>
      <c r="C851" s="921"/>
      <c r="D851" s="921"/>
      <c r="E851" s="922"/>
      <c r="F851" s="923"/>
      <c r="G851" s="924"/>
      <c r="H851" s="924"/>
      <c r="I851" s="920">
        <f>I852+I861+I859</f>
        <v>42717</v>
      </c>
      <c r="J851" s="920">
        <f>J852+J861+J859</f>
        <v>28478</v>
      </c>
      <c r="K851" s="920">
        <f>I851+J851</f>
        <v>71195</v>
      </c>
    </row>
    <row r="852" spans="1:11" s="902" customFormat="1" ht="115.5" customHeight="1">
      <c r="A852" s="1070" t="s">
        <v>1541</v>
      </c>
      <c r="B852" s="1071"/>
      <c r="C852" s="925"/>
      <c r="D852" s="925"/>
      <c r="E852" s="925"/>
      <c r="F852" s="931"/>
      <c r="G852" s="925"/>
      <c r="H852" s="926"/>
      <c r="I852" s="871">
        <f>SUM(I853:I858)</f>
        <v>38817</v>
      </c>
      <c r="J852" s="871">
        <f>SUM(J853:J858)</f>
        <v>25878</v>
      </c>
      <c r="K852" s="871">
        <f>I852+J852</f>
        <v>64695</v>
      </c>
    </row>
    <row r="853" spans="1:11" s="901" customFormat="1" ht="115.5" customHeight="1">
      <c r="A853" s="1068" t="s">
        <v>2513</v>
      </c>
      <c r="B853" s="1069"/>
      <c r="C853" s="928" t="s">
        <v>1993</v>
      </c>
      <c r="D853" s="928">
        <v>1</v>
      </c>
      <c r="E853" s="928" t="s">
        <v>1994</v>
      </c>
      <c r="F853" s="840" t="s">
        <v>2249</v>
      </c>
      <c r="G853" s="1072">
        <v>8100</v>
      </c>
      <c r="H853" s="1075" t="s">
        <v>2273</v>
      </c>
      <c r="I853" s="873">
        <f t="shared" ref="I853:I858" si="29">K853/100*60</f>
        <v>3571.2000000000003</v>
      </c>
      <c r="J853" s="873">
        <f t="shared" ref="J853:J858" si="30">K853/100*40</f>
        <v>2380.8000000000002</v>
      </c>
      <c r="K853" s="873">
        <v>5952</v>
      </c>
    </row>
    <row r="854" spans="1:11" s="901" customFormat="1" ht="115.5" customHeight="1">
      <c r="A854" s="1068" t="s">
        <v>2514</v>
      </c>
      <c r="B854" s="1069"/>
      <c r="C854" s="928" t="s">
        <v>79</v>
      </c>
      <c r="D854" s="928"/>
      <c r="E854" s="928" t="s">
        <v>1544</v>
      </c>
      <c r="F854" s="1044" t="s">
        <v>2246</v>
      </c>
      <c r="G854" s="1073"/>
      <c r="H854" s="1076"/>
      <c r="I854" s="873">
        <f t="shared" si="29"/>
        <v>6000</v>
      </c>
      <c r="J854" s="873">
        <f t="shared" si="30"/>
        <v>4000</v>
      </c>
      <c r="K854" s="873">
        <v>10000</v>
      </c>
    </row>
    <row r="855" spans="1:11" s="901" customFormat="1" ht="115.5" customHeight="1">
      <c r="A855" s="1068" t="s">
        <v>2515</v>
      </c>
      <c r="B855" s="1069"/>
      <c r="C855" s="928" t="s">
        <v>1995</v>
      </c>
      <c r="D855" s="928">
        <v>1</v>
      </c>
      <c r="E855" s="928" t="s">
        <v>1649</v>
      </c>
      <c r="F855" s="1046"/>
      <c r="G855" s="1073"/>
      <c r="H855" s="1076"/>
      <c r="I855" s="873">
        <f t="shared" si="29"/>
        <v>8245.8000000000011</v>
      </c>
      <c r="J855" s="873">
        <f t="shared" si="30"/>
        <v>5497.2000000000007</v>
      </c>
      <c r="K855" s="873">
        <v>13743</v>
      </c>
    </row>
    <row r="856" spans="1:11" s="901" customFormat="1" ht="115.5" customHeight="1">
      <c r="A856" s="1068" t="s">
        <v>1606</v>
      </c>
      <c r="B856" s="1069"/>
      <c r="C856" s="928" t="s">
        <v>1991</v>
      </c>
      <c r="D856" s="928">
        <v>2</v>
      </c>
      <c r="E856" s="928" t="s">
        <v>1992</v>
      </c>
      <c r="F856" s="840" t="s">
        <v>2247</v>
      </c>
      <c r="G856" s="1073"/>
      <c r="H856" s="1076"/>
      <c r="I856" s="873">
        <f t="shared" si="29"/>
        <v>9000</v>
      </c>
      <c r="J856" s="873">
        <f t="shared" si="30"/>
        <v>6000</v>
      </c>
      <c r="K856" s="873">
        <v>15000</v>
      </c>
    </row>
    <row r="857" spans="1:11" s="901" customFormat="1" ht="115.5" customHeight="1">
      <c r="A857" s="1068" t="s">
        <v>2516</v>
      </c>
      <c r="B857" s="1069"/>
      <c r="C857" s="928" t="s">
        <v>1996</v>
      </c>
      <c r="D857" s="928">
        <v>10</v>
      </c>
      <c r="E857" s="928" t="s">
        <v>1997</v>
      </c>
      <c r="F857" s="1044" t="s">
        <v>2248</v>
      </c>
      <c r="G857" s="1073"/>
      <c r="H857" s="1076"/>
      <c r="I857" s="873">
        <f t="shared" si="29"/>
        <v>9000</v>
      </c>
      <c r="J857" s="873">
        <f t="shared" si="30"/>
        <v>6000</v>
      </c>
      <c r="K857" s="873">
        <v>15000</v>
      </c>
    </row>
    <row r="858" spans="1:11" s="901" customFormat="1" ht="115.5" customHeight="1">
      <c r="A858" s="1068" t="s">
        <v>2517</v>
      </c>
      <c r="B858" s="1069"/>
      <c r="C858" s="928" t="s">
        <v>216</v>
      </c>
      <c r="D858" s="928">
        <v>9</v>
      </c>
      <c r="E858" s="928" t="s">
        <v>1997</v>
      </c>
      <c r="F858" s="1046"/>
      <c r="G858" s="1074"/>
      <c r="H858" s="1077"/>
      <c r="I858" s="873">
        <f t="shared" si="29"/>
        <v>3000</v>
      </c>
      <c r="J858" s="873">
        <f t="shared" si="30"/>
        <v>2000</v>
      </c>
      <c r="K858" s="873">
        <v>5000</v>
      </c>
    </row>
    <row r="859" spans="1:11" s="902" customFormat="1" ht="115.5" customHeight="1">
      <c r="A859" s="1070" t="s">
        <v>278</v>
      </c>
      <c r="B859" s="1071"/>
      <c r="C859" s="925"/>
      <c r="D859" s="925"/>
      <c r="E859" s="925"/>
      <c r="F859" s="931"/>
      <c r="G859" s="925"/>
      <c r="H859" s="926"/>
      <c r="I859" s="871">
        <f>SUM(I860:I860)</f>
        <v>1500</v>
      </c>
      <c r="J859" s="871">
        <f>SUM(J860:J860)</f>
        <v>1000</v>
      </c>
      <c r="K859" s="871">
        <f>I859+J859</f>
        <v>2500</v>
      </c>
    </row>
    <row r="860" spans="1:11" s="901" customFormat="1" ht="115.5" customHeight="1">
      <c r="A860" s="1068" t="s">
        <v>2527</v>
      </c>
      <c r="B860" s="1069"/>
      <c r="C860" s="928" t="s">
        <v>1215</v>
      </c>
      <c r="D860" s="928">
        <v>5</v>
      </c>
      <c r="E860" s="928" t="s">
        <v>1998</v>
      </c>
      <c r="F860" s="842" t="s">
        <v>2235</v>
      </c>
      <c r="G860" s="956">
        <v>8100</v>
      </c>
      <c r="H860" s="932" t="s">
        <v>2445</v>
      </c>
      <c r="I860" s="873">
        <f>K860/100*60</f>
        <v>1500</v>
      </c>
      <c r="J860" s="873">
        <f>K860/100*40</f>
        <v>1000</v>
      </c>
      <c r="K860" s="873">
        <v>2500</v>
      </c>
    </row>
    <row r="861" spans="1:11" s="902" customFormat="1" ht="115.5" customHeight="1">
      <c r="A861" s="1070" t="s">
        <v>312</v>
      </c>
      <c r="B861" s="1071"/>
      <c r="C861" s="925"/>
      <c r="D861" s="925"/>
      <c r="E861" s="925"/>
      <c r="F861" s="931"/>
      <c r="G861" s="925"/>
      <c r="H861" s="926"/>
      <c r="I861" s="871">
        <f>SUM(I862:I863)</f>
        <v>2400</v>
      </c>
      <c r="J861" s="871">
        <f>SUM(J862:J863)</f>
        <v>1600</v>
      </c>
      <c r="K861" s="871">
        <f>I861+J861</f>
        <v>4000</v>
      </c>
    </row>
    <row r="862" spans="1:11" s="901" customFormat="1" ht="115.5" customHeight="1">
      <c r="A862" s="1068" t="s">
        <v>1989</v>
      </c>
      <c r="B862" s="1069"/>
      <c r="C862" s="928" t="s">
        <v>1999</v>
      </c>
      <c r="D862" s="928">
        <v>35</v>
      </c>
      <c r="E862" s="928" t="s">
        <v>2000</v>
      </c>
      <c r="F862" s="1044" t="s">
        <v>2225</v>
      </c>
      <c r="G862" s="1072">
        <v>8100</v>
      </c>
      <c r="H862" s="1075" t="s">
        <v>2273</v>
      </c>
      <c r="I862" s="873">
        <f>K862/100*60</f>
        <v>600</v>
      </c>
      <c r="J862" s="873">
        <f>K862/100*40</f>
        <v>400</v>
      </c>
      <c r="K862" s="873">
        <v>1000</v>
      </c>
    </row>
    <row r="863" spans="1:11" s="901" customFormat="1" ht="115.5" customHeight="1">
      <c r="A863" s="1068" t="s">
        <v>1990</v>
      </c>
      <c r="B863" s="1069"/>
      <c r="C863" s="928" t="s">
        <v>2001</v>
      </c>
      <c r="D863" s="928">
        <v>7</v>
      </c>
      <c r="E863" s="928" t="s">
        <v>2002</v>
      </c>
      <c r="F863" s="1045"/>
      <c r="G863" s="1073"/>
      <c r="H863" s="1076"/>
      <c r="I863" s="873">
        <f>K863/100*60</f>
        <v>1800</v>
      </c>
      <c r="J863" s="873">
        <f>K863/100*40</f>
        <v>1200</v>
      </c>
      <c r="K863" s="873">
        <v>3000</v>
      </c>
    </row>
    <row r="864" spans="1:11" s="951" customFormat="1" ht="115.5" customHeight="1">
      <c r="A864" s="1125"/>
      <c r="B864" s="1126"/>
      <c r="C864" s="947"/>
      <c r="D864" s="947"/>
      <c r="E864" s="948"/>
      <c r="F864" s="949"/>
      <c r="G864" s="950"/>
      <c r="H864" s="950"/>
      <c r="I864" s="742"/>
      <c r="J864" s="742"/>
      <c r="K864" s="742"/>
    </row>
    <row r="865" spans="1:11" s="902" customFormat="1" ht="115.5" customHeight="1">
      <c r="A865" s="1111" t="s">
        <v>37</v>
      </c>
      <c r="B865" s="1112"/>
      <c r="C865" s="983" t="s">
        <v>178</v>
      </c>
      <c r="D865" s="983" t="s">
        <v>179</v>
      </c>
      <c r="E865" s="983" t="s">
        <v>1521</v>
      </c>
      <c r="F865" s="983" t="s">
        <v>14</v>
      </c>
      <c r="G865" s="983" t="s">
        <v>1515</v>
      </c>
      <c r="H865" s="983" t="s">
        <v>16</v>
      </c>
      <c r="I865" s="1108" t="s">
        <v>1490</v>
      </c>
      <c r="J865" s="1108" t="s">
        <v>2506</v>
      </c>
      <c r="K865" s="983" t="s">
        <v>200</v>
      </c>
    </row>
    <row r="866" spans="1:11" s="900" customFormat="1" ht="115.5" customHeight="1">
      <c r="A866" s="1113"/>
      <c r="B866" s="1114"/>
      <c r="C866" s="984"/>
      <c r="D866" s="984"/>
      <c r="E866" s="984"/>
      <c r="F866" s="984"/>
      <c r="G866" s="984"/>
      <c r="H866" s="984"/>
      <c r="I866" s="1108"/>
      <c r="J866" s="1108"/>
      <c r="K866" s="984"/>
    </row>
    <row r="867" spans="1:11" s="900" customFormat="1" ht="115.5" customHeight="1">
      <c r="A867" s="1109" t="s">
        <v>2210</v>
      </c>
      <c r="B867" s="1110"/>
      <c r="C867" s="921"/>
      <c r="D867" s="921"/>
      <c r="E867" s="922"/>
      <c r="F867" s="923"/>
      <c r="G867" s="924"/>
      <c r="H867" s="924"/>
      <c r="I867" s="920">
        <f>I868+I872</f>
        <v>36599.4</v>
      </c>
      <c r="J867" s="920">
        <f>J868+J872</f>
        <v>24399.599999999999</v>
      </c>
      <c r="K867" s="920">
        <f>I867+J867</f>
        <v>60999</v>
      </c>
    </row>
    <row r="868" spans="1:11" s="902" customFormat="1" ht="115.5" customHeight="1">
      <c r="A868" s="1070" t="s">
        <v>1541</v>
      </c>
      <c r="B868" s="1071"/>
      <c r="C868" s="925"/>
      <c r="D868" s="925"/>
      <c r="E868" s="925"/>
      <c r="F868" s="931"/>
      <c r="G868" s="925"/>
      <c r="H868" s="926"/>
      <c r="I868" s="871">
        <f>SUM(I869:I871)</f>
        <v>34200</v>
      </c>
      <c r="J868" s="871">
        <f>SUM(J869:J871)</f>
        <v>22800</v>
      </c>
      <c r="K868" s="871">
        <f>I868+J868</f>
        <v>57000</v>
      </c>
    </row>
    <row r="869" spans="1:11" s="901" customFormat="1" ht="115.5" customHeight="1">
      <c r="A869" s="1068" t="s">
        <v>2208</v>
      </c>
      <c r="B869" s="1069"/>
      <c r="C869" s="928" t="s">
        <v>1544</v>
      </c>
      <c r="D869" s="928"/>
      <c r="E869" s="928" t="s">
        <v>1544</v>
      </c>
      <c r="F869" s="840" t="s">
        <v>2246</v>
      </c>
      <c r="G869" s="1072">
        <v>8100</v>
      </c>
      <c r="H869" s="1075" t="s">
        <v>2273</v>
      </c>
      <c r="I869" s="873">
        <f>K869/100*60</f>
        <v>9000</v>
      </c>
      <c r="J869" s="873">
        <f>K869/100*40</f>
        <v>6000</v>
      </c>
      <c r="K869" s="873">
        <v>15000</v>
      </c>
    </row>
    <row r="870" spans="1:11" s="901" customFormat="1" ht="115.5" customHeight="1">
      <c r="A870" s="1068" t="s">
        <v>1546</v>
      </c>
      <c r="B870" s="1069"/>
      <c r="C870" s="928" t="s">
        <v>1544</v>
      </c>
      <c r="D870" s="928"/>
      <c r="E870" s="928" t="s">
        <v>1544</v>
      </c>
      <c r="F870" s="840" t="s">
        <v>2247</v>
      </c>
      <c r="G870" s="1073"/>
      <c r="H870" s="1076"/>
      <c r="I870" s="873">
        <f>K870/100*60</f>
        <v>10200</v>
      </c>
      <c r="J870" s="873">
        <f>K870/100*40</f>
        <v>6800</v>
      </c>
      <c r="K870" s="873">
        <v>17000</v>
      </c>
    </row>
    <row r="871" spans="1:11" s="901" customFormat="1" ht="115.5" customHeight="1">
      <c r="A871" s="1068" t="s">
        <v>2209</v>
      </c>
      <c r="B871" s="1069"/>
      <c r="C871" s="928" t="s">
        <v>1544</v>
      </c>
      <c r="D871" s="928"/>
      <c r="E871" s="928" t="s">
        <v>1544</v>
      </c>
      <c r="F871" s="840" t="s">
        <v>2248</v>
      </c>
      <c r="G871" s="1073"/>
      <c r="H871" s="1076"/>
      <c r="I871" s="873">
        <f>K871/100*60</f>
        <v>15000</v>
      </c>
      <c r="J871" s="873">
        <f>K871/100*40</f>
        <v>10000</v>
      </c>
      <c r="K871" s="873">
        <v>25000</v>
      </c>
    </row>
    <row r="872" spans="1:11" s="902" customFormat="1" ht="115.5" customHeight="1">
      <c r="A872" s="1070" t="s">
        <v>312</v>
      </c>
      <c r="B872" s="1071"/>
      <c r="C872" s="925"/>
      <c r="D872" s="925"/>
      <c r="E872" s="925"/>
      <c r="F872" s="931"/>
      <c r="G872" s="925"/>
      <c r="H872" s="926"/>
      <c r="I872" s="871">
        <f>SUM(I873:I873)</f>
        <v>2399.4</v>
      </c>
      <c r="J872" s="871">
        <f>SUM(J873:J873)</f>
        <v>1599.6000000000001</v>
      </c>
      <c r="K872" s="871">
        <f>I872+J872</f>
        <v>3999</v>
      </c>
    </row>
    <row r="873" spans="1:11" s="901" customFormat="1" ht="115.5" customHeight="1">
      <c r="A873" s="1068" t="s">
        <v>2211</v>
      </c>
      <c r="B873" s="1069"/>
      <c r="C873" s="928" t="s">
        <v>1544</v>
      </c>
      <c r="D873" s="928"/>
      <c r="E873" s="928" t="s">
        <v>1544</v>
      </c>
      <c r="F873" s="842" t="s">
        <v>2225</v>
      </c>
      <c r="G873" s="929">
        <v>8100</v>
      </c>
      <c r="H873" s="932" t="s">
        <v>2273</v>
      </c>
      <c r="I873" s="873">
        <f>K873/100*60</f>
        <v>2399.4</v>
      </c>
      <c r="J873" s="873">
        <f>K873/100*40</f>
        <v>1599.6000000000001</v>
      </c>
      <c r="K873" s="873">
        <v>3999</v>
      </c>
    </row>
    <row r="874" spans="1:11" s="902" customFormat="1" ht="115.5" customHeight="1">
      <c r="A874" s="1066" t="s">
        <v>2455</v>
      </c>
      <c r="B874" s="1066"/>
      <c r="C874" s="1066"/>
      <c r="D874" s="1066"/>
      <c r="E874" s="1066"/>
      <c r="F874" s="1066"/>
      <c r="G874" s="1066"/>
      <c r="H874" s="1066"/>
      <c r="I874" s="1066"/>
      <c r="J874" s="1066"/>
      <c r="K874" s="1066"/>
    </row>
    <row r="875" spans="1:11" ht="54.75" customHeight="1">
      <c r="A875" s="528"/>
      <c r="B875" s="529"/>
      <c r="C875" s="529"/>
      <c r="D875" s="530"/>
      <c r="E875" s="531"/>
      <c r="F875" s="532"/>
      <c r="G875" s="533"/>
      <c r="H875" s="649"/>
      <c r="I875" s="535"/>
      <c r="J875" s="535"/>
      <c r="K875" s="535"/>
    </row>
    <row r="876" spans="1:11" ht="34.5" hidden="1" customHeight="1">
      <c r="A876" s="1128" t="s">
        <v>51</v>
      </c>
      <c r="B876" s="1128"/>
      <c r="C876" s="1128"/>
      <c r="D876" s="1128"/>
      <c r="E876" s="1128"/>
      <c r="F876" s="1128"/>
      <c r="G876" s="1128"/>
      <c r="H876" s="1128"/>
      <c r="I876" s="1128"/>
      <c r="J876" s="1128"/>
      <c r="K876" s="1128"/>
    </row>
    <row r="877" spans="1:11" ht="30.75" hidden="1" customHeight="1">
      <c r="A877" s="1128" t="s">
        <v>52</v>
      </c>
      <c r="B877" s="1128"/>
      <c r="C877" s="1128"/>
      <c r="D877" s="1128"/>
      <c r="E877" s="1128"/>
      <c r="F877" s="1128"/>
      <c r="G877" s="1128"/>
      <c r="H877" s="1128"/>
      <c r="I877" s="1128"/>
      <c r="J877" s="1128"/>
      <c r="K877" s="1128"/>
    </row>
    <row r="878" spans="1:11" ht="33" hidden="1" customHeight="1">
      <c r="A878" s="1132" t="s">
        <v>50</v>
      </c>
      <c r="B878" s="1132"/>
      <c r="C878" s="1132"/>
      <c r="D878" s="1132"/>
      <c r="E878" s="1132"/>
      <c r="F878" s="1132"/>
      <c r="G878" s="1132"/>
      <c r="H878" s="1132"/>
      <c r="I878" s="1132"/>
      <c r="J878" s="1132"/>
      <c r="K878" s="1132"/>
    </row>
    <row r="879" spans="1:11" ht="33" hidden="1" customHeight="1">
      <c r="A879" s="154"/>
      <c r="B879" s="154"/>
      <c r="C879" s="154"/>
      <c r="D879" s="154"/>
      <c r="E879" s="154"/>
      <c r="F879" s="154"/>
      <c r="G879" s="707"/>
      <c r="H879" s="707"/>
      <c r="I879" s="707"/>
      <c r="J879" s="707"/>
      <c r="K879" s="707"/>
    </row>
    <row r="880" spans="1:11" ht="35.25" hidden="1">
      <c r="A880" s="1128" t="s">
        <v>1336</v>
      </c>
      <c r="B880" s="1128"/>
      <c r="C880" s="1128"/>
      <c r="D880" s="1128"/>
      <c r="E880" s="1128"/>
      <c r="F880" s="1128"/>
      <c r="G880" s="1128"/>
      <c r="H880" s="1128"/>
      <c r="I880" s="1128"/>
      <c r="J880" s="1128"/>
      <c r="K880" s="1128"/>
    </row>
    <row r="881" spans="1:11" s="620" customFormat="1" ht="33" hidden="1">
      <c r="A881" s="65"/>
      <c r="B881" s="65"/>
      <c r="C881" s="65"/>
      <c r="D881" s="65"/>
      <c r="E881" s="65"/>
      <c r="F881" s="65"/>
      <c r="G881" s="68"/>
      <c r="H881" s="68"/>
      <c r="I881" s="68"/>
      <c r="J881" s="68"/>
      <c r="K881" s="68"/>
    </row>
    <row r="882" spans="1:11" ht="20.100000000000001" hidden="1" customHeight="1">
      <c r="A882" s="65"/>
      <c r="B882" s="65"/>
      <c r="C882" s="65"/>
      <c r="D882" s="65"/>
      <c r="E882" s="65"/>
      <c r="F882" s="65"/>
      <c r="G882" s="68"/>
      <c r="H882" s="68"/>
      <c r="I882" s="68"/>
      <c r="J882" s="68"/>
      <c r="K882" s="68"/>
    </row>
    <row r="883" spans="1:11" ht="20.100000000000001" hidden="1" customHeight="1">
      <c r="A883" s="979"/>
      <c r="B883" s="979"/>
      <c r="C883" s="979"/>
      <c r="D883" s="979"/>
      <c r="E883" s="979"/>
      <c r="F883" s="979"/>
      <c r="G883" s="979"/>
      <c r="H883" s="979"/>
      <c r="I883" s="979"/>
      <c r="J883" s="979"/>
      <c r="K883" s="979"/>
    </row>
    <row r="884" spans="1:11" ht="45.75" hidden="1" customHeight="1">
      <c r="A884" s="1030" t="s">
        <v>1383</v>
      </c>
      <c r="B884" s="1030"/>
      <c r="C884" s="1030"/>
      <c r="D884" s="1030"/>
      <c r="E884" s="1030"/>
      <c r="F884" s="1030"/>
      <c r="G884" s="1030"/>
      <c r="H884" s="1030"/>
      <c r="I884" s="1030"/>
      <c r="J884" s="1030"/>
      <c r="K884" s="1030"/>
    </row>
    <row r="885" spans="1:11" ht="66" hidden="1" customHeight="1">
      <c r="A885" s="1031" t="s">
        <v>37</v>
      </c>
      <c r="B885" s="1033"/>
      <c r="C885" s="1037" t="s">
        <v>178</v>
      </c>
      <c r="D885" s="1037" t="s">
        <v>179</v>
      </c>
      <c r="E885" s="1037" t="s">
        <v>1521</v>
      </c>
      <c r="F885" s="1037" t="s">
        <v>14</v>
      </c>
      <c r="G885" s="1037" t="s">
        <v>1515</v>
      </c>
      <c r="H885" s="1037" t="s">
        <v>16</v>
      </c>
      <c r="I885" s="1039" t="s">
        <v>1490</v>
      </c>
      <c r="J885" s="1039" t="s">
        <v>2454</v>
      </c>
      <c r="K885" s="1037" t="s">
        <v>200</v>
      </c>
    </row>
    <row r="886" spans="1:11" s="500" customFormat="1" ht="30" hidden="1" customHeight="1">
      <c r="A886" s="1034"/>
      <c r="B886" s="1036"/>
      <c r="C886" s="1038"/>
      <c r="D886" s="1038"/>
      <c r="E886" s="1038"/>
      <c r="F886" s="1038"/>
      <c r="G886" s="1038"/>
      <c r="H886" s="1038"/>
      <c r="I886" s="1039"/>
      <c r="J886" s="1039"/>
      <c r="K886" s="1038"/>
    </row>
    <row r="887" spans="1:11" s="500" customFormat="1" ht="74.25" hidden="1" customHeight="1">
      <c r="A887" s="1102" t="s">
        <v>2116</v>
      </c>
      <c r="B887" s="1103"/>
      <c r="C887" s="729"/>
      <c r="D887" s="729"/>
      <c r="E887" s="726"/>
      <c r="F887" s="727"/>
      <c r="G887" s="728"/>
      <c r="H887" s="728"/>
      <c r="I887" s="642">
        <f>I888+I897+I895</f>
        <v>40920</v>
      </c>
      <c r="J887" s="642">
        <f>J888+J897+J895</f>
        <v>27280</v>
      </c>
      <c r="K887" s="642">
        <f>I887+J887</f>
        <v>68200</v>
      </c>
    </row>
    <row r="888" spans="1:11" ht="75" hidden="1" customHeight="1">
      <c r="A888" s="1011" t="s">
        <v>1541</v>
      </c>
      <c r="B888" s="1013"/>
      <c r="C888" s="709"/>
      <c r="D888" s="709"/>
      <c r="E888" s="709"/>
      <c r="F888" s="708"/>
      <c r="G888" s="709"/>
      <c r="H888" s="710"/>
      <c r="I888" s="545">
        <f>SUM(I889:I894)</f>
        <v>32050.799999999999</v>
      </c>
      <c r="J888" s="545">
        <f>SUM(J889:J894)</f>
        <v>21367.200000000001</v>
      </c>
      <c r="K888" s="545">
        <f>I888+J888</f>
        <v>53418</v>
      </c>
    </row>
    <row r="889" spans="1:11" s="510" customFormat="1" ht="74.25" hidden="1" customHeight="1">
      <c r="A889" s="1020" t="s">
        <v>2117</v>
      </c>
      <c r="B889" s="1022"/>
      <c r="C889" s="714" t="s">
        <v>2126</v>
      </c>
      <c r="D889" s="714">
        <v>2</v>
      </c>
      <c r="E889" s="714" t="s">
        <v>2132</v>
      </c>
      <c r="F889" s="1044" t="s">
        <v>2229</v>
      </c>
      <c r="G889" s="1047">
        <v>8100</v>
      </c>
      <c r="H889" s="1099" t="s">
        <v>2273</v>
      </c>
      <c r="I889" s="717">
        <f t="shared" ref="I889:I894" si="31">K889/100*60</f>
        <v>6000</v>
      </c>
      <c r="J889" s="717">
        <f t="shared" ref="J889:J894" si="32">K889/100*40</f>
        <v>4000</v>
      </c>
      <c r="K889" s="717">
        <v>10000</v>
      </c>
    </row>
    <row r="890" spans="1:11" s="510" customFormat="1" ht="75" hidden="1" customHeight="1">
      <c r="A890" s="1020" t="s">
        <v>2118</v>
      </c>
      <c r="B890" s="1022"/>
      <c r="C890" s="714" t="s">
        <v>2127</v>
      </c>
      <c r="D890" s="714">
        <v>40</v>
      </c>
      <c r="E890" s="714" t="s">
        <v>2133</v>
      </c>
      <c r="F890" s="1045"/>
      <c r="G890" s="1048"/>
      <c r="H890" s="1100"/>
      <c r="I890" s="717">
        <f t="shared" si="31"/>
        <v>6000</v>
      </c>
      <c r="J890" s="717">
        <f t="shared" si="32"/>
        <v>4000</v>
      </c>
      <c r="K890" s="717">
        <v>10000</v>
      </c>
    </row>
    <row r="891" spans="1:11" s="510" customFormat="1" ht="75" hidden="1" customHeight="1">
      <c r="A891" s="1020" t="s">
        <v>2119</v>
      </c>
      <c r="B891" s="1022"/>
      <c r="C891" s="714" t="s">
        <v>2128</v>
      </c>
      <c r="D891" s="714">
        <v>60</v>
      </c>
      <c r="E891" s="714" t="s">
        <v>2132</v>
      </c>
      <c r="F891" s="829" t="s">
        <v>2230</v>
      </c>
      <c r="G891" s="1048"/>
      <c r="H891" s="1100"/>
      <c r="I891" s="717">
        <f t="shared" si="31"/>
        <v>8050.8</v>
      </c>
      <c r="J891" s="717">
        <f t="shared" si="32"/>
        <v>5367.2000000000007</v>
      </c>
      <c r="K891" s="717">
        <v>13418</v>
      </c>
    </row>
    <row r="892" spans="1:11" s="510" customFormat="1" ht="75" hidden="1" customHeight="1">
      <c r="A892" s="1020" t="s">
        <v>2120</v>
      </c>
      <c r="B892" s="1022"/>
      <c r="C892" s="714" t="s">
        <v>1934</v>
      </c>
      <c r="D892" s="714">
        <v>10</v>
      </c>
      <c r="E892" s="714" t="s">
        <v>2134</v>
      </c>
      <c r="F892" s="1044" t="s">
        <v>2231</v>
      </c>
      <c r="G892" s="1048"/>
      <c r="H892" s="1100"/>
      <c r="I892" s="717">
        <f t="shared" si="31"/>
        <v>6000</v>
      </c>
      <c r="J892" s="717">
        <f t="shared" si="32"/>
        <v>4000</v>
      </c>
      <c r="K892" s="717">
        <v>10000</v>
      </c>
    </row>
    <row r="893" spans="1:11" s="510" customFormat="1" ht="75" hidden="1" customHeight="1">
      <c r="A893" s="1020" t="s">
        <v>2121</v>
      </c>
      <c r="B893" s="1022"/>
      <c r="C893" s="714" t="s">
        <v>2129</v>
      </c>
      <c r="D893" s="714">
        <v>5</v>
      </c>
      <c r="E893" s="714" t="s">
        <v>2132</v>
      </c>
      <c r="F893" s="1045"/>
      <c r="G893" s="1048"/>
      <c r="H893" s="1100"/>
      <c r="I893" s="717">
        <f t="shared" si="31"/>
        <v>3000</v>
      </c>
      <c r="J893" s="717">
        <f t="shared" si="32"/>
        <v>2000</v>
      </c>
      <c r="K893" s="717">
        <v>5000</v>
      </c>
    </row>
    <row r="894" spans="1:11" s="510" customFormat="1" ht="75" hidden="1" customHeight="1">
      <c r="A894" s="1020" t="s">
        <v>2122</v>
      </c>
      <c r="B894" s="1022"/>
      <c r="C894" s="714" t="s">
        <v>2130</v>
      </c>
      <c r="D894" s="714">
        <v>10</v>
      </c>
      <c r="E894" s="714" t="s">
        <v>2134</v>
      </c>
      <c r="F894" s="1046"/>
      <c r="G894" s="1049"/>
      <c r="H894" s="1101"/>
      <c r="I894" s="717">
        <f t="shared" si="31"/>
        <v>3000</v>
      </c>
      <c r="J894" s="717">
        <f t="shared" si="32"/>
        <v>2000</v>
      </c>
      <c r="K894" s="717">
        <v>5000</v>
      </c>
    </row>
    <row r="895" spans="1:11" ht="74.25" hidden="1" customHeight="1">
      <c r="A895" s="1011" t="s">
        <v>278</v>
      </c>
      <c r="B895" s="1013"/>
      <c r="C895" s="504"/>
      <c r="D895" s="709"/>
      <c r="E895" s="709"/>
      <c r="F895" s="708"/>
      <c r="G895" s="709"/>
      <c r="H895" s="710"/>
      <c r="I895" s="545">
        <f>SUM(I896)</f>
        <v>2869.2</v>
      </c>
      <c r="J895" s="545">
        <f>SUM(J896)</f>
        <v>1912.8</v>
      </c>
      <c r="K895" s="545">
        <f>I895+J895</f>
        <v>4782</v>
      </c>
    </row>
    <row r="896" spans="1:11" s="510" customFormat="1" ht="74.25" hidden="1" customHeight="1">
      <c r="A896" s="1020" t="s">
        <v>2004</v>
      </c>
      <c r="B896" s="1022"/>
      <c r="C896" s="714" t="s">
        <v>1215</v>
      </c>
      <c r="D896" s="714">
        <v>8</v>
      </c>
      <c r="E896" s="725" t="s">
        <v>2125</v>
      </c>
      <c r="F896" s="833" t="s">
        <v>2234</v>
      </c>
      <c r="G896" s="835">
        <v>8100</v>
      </c>
      <c r="H896" s="834" t="s">
        <v>2445</v>
      </c>
      <c r="I896" s="717">
        <f>K896/100*60</f>
        <v>2869.2</v>
      </c>
      <c r="J896" s="717">
        <f>K896/100*40</f>
        <v>1912.8</v>
      </c>
      <c r="K896" s="717">
        <v>4782</v>
      </c>
    </row>
    <row r="897" spans="1:11" ht="73.5" hidden="1" customHeight="1">
      <c r="A897" s="1011" t="s">
        <v>312</v>
      </c>
      <c r="B897" s="1013"/>
      <c r="C897" s="709"/>
      <c r="D897" s="709"/>
      <c r="E897" s="709"/>
      <c r="F897" s="708"/>
      <c r="G897" s="709"/>
      <c r="H897" s="710"/>
      <c r="I897" s="545">
        <f>SUM(I898:I899)</f>
        <v>6000</v>
      </c>
      <c r="J897" s="545">
        <f>SUM(J898:J899)</f>
        <v>4000</v>
      </c>
      <c r="K897" s="545">
        <f>I897+J897</f>
        <v>10000</v>
      </c>
    </row>
    <row r="898" spans="1:11" s="510" customFormat="1" ht="74.25" hidden="1" customHeight="1">
      <c r="A898" s="1020" t="s">
        <v>2123</v>
      </c>
      <c r="B898" s="1022"/>
      <c r="C898" s="714" t="s">
        <v>2131</v>
      </c>
      <c r="D898" s="714">
        <v>3</v>
      </c>
      <c r="E898" s="714" t="s">
        <v>2135</v>
      </c>
      <c r="F898" s="1044" t="s">
        <v>2224</v>
      </c>
      <c r="G898" s="1047">
        <v>8100</v>
      </c>
      <c r="H898" s="1099" t="s">
        <v>2273</v>
      </c>
      <c r="I898" s="717">
        <f>K898/100*60</f>
        <v>3000</v>
      </c>
      <c r="J898" s="717">
        <f>K898/100*40</f>
        <v>2000</v>
      </c>
      <c r="K898" s="717">
        <v>5000</v>
      </c>
    </row>
    <row r="899" spans="1:11" s="510" customFormat="1" ht="74.25" hidden="1" customHeight="1">
      <c r="A899" s="1020" t="s">
        <v>2124</v>
      </c>
      <c r="B899" s="1022"/>
      <c r="C899" s="714" t="s">
        <v>2131</v>
      </c>
      <c r="D899" s="714">
        <v>3</v>
      </c>
      <c r="E899" s="714" t="s">
        <v>2136</v>
      </c>
      <c r="F899" s="1046"/>
      <c r="G899" s="1049"/>
      <c r="H899" s="1101"/>
      <c r="I899" s="717">
        <f>K899/100*60</f>
        <v>3000</v>
      </c>
      <c r="J899" s="717">
        <f>K899/100*40</f>
        <v>2000</v>
      </c>
      <c r="K899" s="717">
        <v>5000</v>
      </c>
    </row>
    <row r="900" spans="1:11" s="743" customFormat="1" ht="36.75" hidden="1" customHeight="1">
      <c r="A900" s="1135"/>
      <c r="B900" s="1136"/>
      <c r="C900" s="738"/>
      <c r="D900" s="738"/>
      <c r="E900" s="739"/>
      <c r="F900" s="740"/>
      <c r="G900" s="741"/>
      <c r="H900" s="741"/>
      <c r="I900" s="742"/>
      <c r="J900" s="742"/>
      <c r="K900" s="742"/>
    </row>
    <row r="901" spans="1:11" ht="66" hidden="1" customHeight="1">
      <c r="A901" s="1031" t="s">
        <v>37</v>
      </c>
      <c r="B901" s="1033"/>
      <c r="C901" s="1037" t="s">
        <v>178</v>
      </c>
      <c r="D901" s="1037" t="s">
        <v>179</v>
      </c>
      <c r="E901" s="1037" t="s">
        <v>1521</v>
      </c>
      <c r="F901" s="1037" t="s">
        <v>14</v>
      </c>
      <c r="G901" s="1037" t="s">
        <v>1515</v>
      </c>
      <c r="H901" s="1037" t="s">
        <v>16</v>
      </c>
      <c r="I901" s="1039" t="s">
        <v>1490</v>
      </c>
      <c r="J901" s="1039" t="s">
        <v>2454</v>
      </c>
      <c r="K901" s="1037" t="s">
        <v>200</v>
      </c>
    </row>
    <row r="902" spans="1:11" s="500" customFormat="1" ht="30" hidden="1" customHeight="1">
      <c r="A902" s="1034"/>
      <c r="B902" s="1036"/>
      <c r="C902" s="1038"/>
      <c r="D902" s="1038"/>
      <c r="E902" s="1038"/>
      <c r="F902" s="1038"/>
      <c r="G902" s="1038"/>
      <c r="H902" s="1038"/>
      <c r="I902" s="1039"/>
      <c r="J902" s="1039"/>
      <c r="K902" s="1038"/>
    </row>
    <row r="903" spans="1:11" s="500" customFormat="1" ht="74.25" hidden="1" customHeight="1">
      <c r="A903" s="1102" t="s">
        <v>2191</v>
      </c>
      <c r="B903" s="1103"/>
      <c r="C903" s="729"/>
      <c r="D903" s="729"/>
      <c r="E903" s="726"/>
      <c r="F903" s="727"/>
      <c r="G903" s="728"/>
      <c r="H903" s="728"/>
      <c r="I903" s="642">
        <f>I904+I911+I909</f>
        <v>135962.4</v>
      </c>
      <c r="J903" s="642">
        <f>J904+J911+J909</f>
        <v>90641.600000000006</v>
      </c>
      <c r="K903" s="642">
        <f>I903+J903</f>
        <v>226604</v>
      </c>
    </row>
    <row r="904" spans="1:11" ht="75" hidden="1" customHeight="1">
      <c r="A904" s="1011" t="s">
        <v>1541</v>
      </c>
      <c r="B904" s="1013"/>
      <c r="C904" s="709"/>
      <c r="D904" s="709"/>
      <c r="E904" s="709"/>
      <c r="F904" s="708"/>
      <c r="G904" s="709"/>
      <c r="H904" s="710"/>
      <c r="I904" s="545">
        <f>SUM(I905:I908)</f>
        <v>110462.39999999999</v>
      </c>
      <c r="J904" s="545">
        <f>SUM(J905:J908)</f>
        <v>73641.600000000006</v>
      </c>
      <c r="K904" s="545">
        <f>I904+J904</f>
        <v>184104</v>
      </c>
    </row>
    <row r="905" spans="1:11" s="510" customFormat="1" ht="75" hidden="1" customHeight="1">
      <c r="A905" s="1020" t="s">
        <v>2193</v>
      </c>
      <c r="B905" s="1022"/>
      <c r="C905" s="714" t="s">
        <v>1544</v>
      </c>
      <c r="D905" s="714"/>
      <c r="E905" s="714" t="s">
        <v>1544</v>
      </c>
      <c r="F905" s="829" t="s">
        <v>2229</v>
      </c>
      <c r="G905" s="1047">
        <v>8100</v>
      </c>
      <c r="H905" s="1099" t="s">
        <v>2273</v>
      </c>
      <c r="I905" s="717">
        <f>K905/100*60</f>
        <v>88262.399999999994</v>
      </c>
      <c r="J905" s="717">
        <f>K905/100*40</f>
        <v>58841.599999999999</v>
      </c>
      <c r="K905" s="717">
        <v>147104</v>
      </c>
    </row>
    <row r="906" spans="1:11" s="510" customFormat="1" ht="75" hidden="1" customHeight="1">
      <c r="A906" s="1020" t="s">
        <v>2192</v>
      </c>
      <c r="B906" s="1022"/>
      <c r="C906" s="714" t="s">
        <v>147</v>
      </c>
      <c r="D906" s="714">
        <v>1</v>
      </c>
      <c r="E906" s="714" t="s">
        <v>2198</v>
      </c>
      <c r="F906" s="833" t="s">
        <v>2236</v>
      </c>
      <c r="G906" s="1048"/>
      <c r="H906" s="1100"/>
      <c r="I906" s="717">
        <f>K906/100*60</f>
        <v>9000</v>
      </c>
      <c r="J906" s="717">
        <f>K906/100*40</f>
        <v>6000</v>
      </c>
      <c r="K906" s="717">
        <v>15000</v>
      </c>
    </row>
    <row r="907" spans="1:11" s="510" customFormat="1" ht="74.25" hidden="1" customHeight="1">
      <c r="A907" s="1020" t="s">
        <v>2194</v>
      </c>
      <c r="B907" s="1022"/>
      <c r="C907" s="714" t="s">
        <v>1934</v>
      </c>
      <c r="D907" s="714">
        <v>35</v>
      </c>
      <c r="E907" s="714" t="s">
        <v>2199</v>
      </c>
      <c r="F907" s="1044" t="s">
        <v>2231</v>
      </c>
      <c r="G907" s="1048"/>
      <c r="H907" s="1100"/>
      <c r="I907" s="717">
        <f>K907/100*60</f>
        <v>10200</v>
      </c>
      <c r="J907" s="717">
        <f>K907/100*40</f>
        <v>6800</v>
      </c>
      <c r="K907" s="717">
        <v>17000</v>
      </c>
    </row>
    <row r="908" spans="1:11" s="510" customFormat="1" ht="75" hidden="1" customHeight="1">
      <c r="A908" s="1020" t="s">
        <v>2195</v>
      </c>
      <c r="B908" s="1022"/>
      <c r="C908" s="714" t="s">
        <v>2200</v>
      </c>
      <c r="D908" s="714">
        <v>22</v>
      </c>
      <c r="E908" s="714" t="s">
        <v>2199</v>
      </c>
      <c r="F908" s="1046"/>
      <c r="G908" s="1048"/>
      <c r="H908" s="1100"/>
      <c r="I908" s="717">
        <f>K908/100*60</f>
        <v>3000</v>
      </c>
      <c r="J908" s="717">
        <f>K908/100*40</f>
        <v>2000</v>
      </c>
      <c r="K908" s="717">
        <v>5000</v>
      </c>
    </row>
    <row r="909" spans="1:11" ht="74.25" hidden="1" customHeight="1">
      <c r="A909" s="1011" t="s">
        <v>278</v>
      </c>
      <c r="B909" s="1013"/>
      <c r="C909" s="504"/>
      <c r="D909" s="709"/>
      <c r="E909" s="709"/>
      <c r="F909" s="708"/>
      <c r="G909" s="709"/>
      <c r="H909" s="710"/>
      <c r="I909" s="545">
        <f>SUM(I910)</f>
        <v>12000</v>
      </c>
      <c r="J909" s="545">
        <f>SUM(J910)</f>
        <v>8000</v>
      </c>
      <c r="K909" s="545">
        <f>I909+J909</f>
        <v>20000</v>
      </c>
    </row>
    <row r="910" spans="1:11" s="510" customFormat="1" ht="74.25" hidden="1" customHeight="1">
      <c r="A910" s="1020" t="s">
        <v>2004</v>
      </c>
      <c r="B910" s="1022"/>
      <c r="C910" s="714" t="s">
        <v>1215</v>
      </c>
      <c r="D910" s="714">
        <v>5</v>
      </c>
      <c r="E910" s="725" t="s">
        <v>2201</v>
      </c>
      <c r="F910" s="833" t="s">
        <v>2234</v>
      </c>
      <c r="G910" s="835">
        <v>8100</v>
      </c>
      <c r="H910" s="834" t="s">
        <v>2445</v>
      </c>
      <c r="I910" s="717">
        <f>K910/100*60</f>
        <v>12000</v>
      </c>
      <c r="J910" s="717">
        <f>K910/100*40</f>
        <v>8000</v>
      </c>
      <c r="K910" s="717">
        <v>20000</v>
      </c>
    </row>
    <row r="911" spans="1:11" ht="73.5" hidden="1" customHeight="1">
      <c r="A911" s="1011" t="s">
        <v>312</v>
      </c>
      <c r="B911" s="1013"/>
      <c r="C911" s="709"/>
      <c r="D911" s="709"/>
      <c r="E911" s="709"/>
      <c r="F911" s="708"/>
      <c r="G911" s="709"/>
      <c r="H911" s="710"/>
      <c r="I911" s="545">
        <f>SUM(I912:I913)</f>
        <v>13500</v>
      </c>
      <c r="J911" s="545">
        <f>SUM(J912:J913)</f>
        <v>9000</v>
      </c>
      <c r="K911" s="545">
        <f>I911+J911</f>
        <v>22500</v>
      </c>
    </row>
    <row r="912" spans="1:11" s="510" customFormat="1" ht="74.25" hidden="1" customHeight="1">
      <c r="A912" s="1020" t="s">
        <v>2197</v>
      </c>
      <c r="B912" s="1022"/>
      <c r="C912" s="714" t="s">
        <v>1544</v>
      </c>
      <c r="D912" s="714"/>
      <c r="E912" s="714" t="s">
        <v>1544</v>
      </c>
      <c r="F912" s="1044" t="s">
        <v>2224</v>
      </c>
      <c r="G912" s="1047">
        <v>8100</v>
      </c>
      <c r="H912" s="1099" t="s">
        <v>2273</v>
      </c>
      <c r="I912" s="717">
        <f>K912/100*60</f>
        <v>10500</v>
      </c>
      <c r="J912" s="717">
        <f>K912/100*40</f>
        <v>7000</v>
      </c>
      <c r="K912" s="717">
        <v>17500</v>
      </c>
    </row>
    <row r="913" spans="1:11" s="510" customFormat="1" ht="74.25" hidden="1" customHeight="1">
      <c r="A913" s="1020" t="s">
        <v>2196</v>
      </c>
      <c r="B913" s="1022"/>
      <c r="C913" s="714" t="s">
        <v>2202</v>
      </c>
      <c r="D913" s="714">
        <v>10</v>
      </c>
      <c r="E913" s="714" t="s">
        <v>2199</v>
      </c>
      <c r="F913" s="1046"/>
      <c r="G913" s="1049"/>
      <c r="H913" s="1101"/>
      <c r="I913" s="717">
        <f>K913/100*60</f>
        <v>3000</v>
      </c>
      <c r="J913" s="717">
        <f>K913/100*40</f>
        <v>2000</v>
      </c>
      <c r="K913" s="717">
        <v>5000</v>
      </c>
    </row>
    <row r="914" spans="1:11" ht="102" hidden="1" customHeight="1">
      <c r="A914" s="1141"/>
      <c r="B914" s="1141"/>
      <c r="C914" s="1141"/>
      <c r="D914" s="1141"/>
      <c r="E914" s="1141"/>
      <c r="F914" s="1141"/>
      <c r="G914" s="1141"/>
      <c r="H914" s="1141"/>
      <c r="I914" s="1141"/>
      <c r="J914" s="1141"/>
      <c r="K914" s="1141"/>
    </row>
    <row r="915" spans="1:11" ht="102" hidden="1" customHeight="1">
      <c r="A915" s="753"/>
      <c r="B915" s="753"/>
      <c r="C915" s="753"/>
      <c r="D915" s="753"/>
      <c r="E915" s="753"/>
      <c r="F915" s="753"/>
      <c r="G915" s="753"/>
      <c r="H915" s="753"/>
      <c r="I915" s="753"/>
      <c r="J915" s="753"/>
      <c r="K915" s="753"/>
    </row>
    <row r="916" spans="1:11" ht="102" hidden="1" customHeight="1">
      <c r="A916" s="753"/>
      <c r="B916" s="753"/>
      <c r="C916" s="753"/>
      <c r="D916" s="753"/>
      <c r="E916" s="753"/>
      <c r="F916" s="753"/>
      <c r="G916" s="753"/>
      <c r="H916" s="753"/>
      <c r="I916" s="753"/>
      <c r="J916" s="753"/>
      <c r="K916" s="753"/>
    </row>
    <row r="917" spans="1:11" ht="102" hidden="1" customHeight="1">
      <c r="A917" s="753"/>
      <c r="B917" s="753"/>
      <c r="C917" s="753"/>
      <c r="D917" s="753"/>
      <c r="E917" s="753"/>
      <c r="F917" s="753"/>
      <c r="G917" s="753"/>
      <c r="H917" s="753"/>
      <c r="I917" s="753"/>
      <c r="J917" s="753"/>
      <c r="K917" s="753"/>
    </row>
    <row r="918" spans="1:11" ht="34.5" hidden="1" customHeight="1">
      <c r="A918" s="1128" t="s">
        <v>51</v>
      </c>
      <c r="B918" s="1128"/>
      <c r="C918" s="1128"/>
      <c r="D918" s="1128"/>
      <c r="E918" s="1128"/>
      <c r="F918" s="1128"/>
      <c r="G918" s="1128"/>
      <c r="H918" s="1128"/>
      <c r="I918" s="1128"/>
      <c r="J918" s="1128"/>
      <c r="K918" s="1128"/>
    </row>
    <row r="919" spans="1:11" ht="30.75" hidden="1" customHeight="1">
      <c r="A919" s="1128" t="s">
        <v>52</v>
      </c>
      <c r="B919" s="1128"/>
      <c r="C919" s="1128"/>
      <c r="D919" s="1128"/>
      <c r="E919" s="1128"/>
      <c r="F919" s="1128"/>
      <c r="G919" s="1128"/>
      <c r="H919" s="1128"/>
      <c r="I919" s="1128"/>
      <c r="J919" s="1128"/>
      <c r="K919" s="1128"/>
    </row>
    <row r="920" spans="1:11" ht="33" hidden="1" customHeight="1">
      <c r="A920" s="1132" t="s">
        <v>50</v>
      </c>
      <c r="B920" s="1132"/>
      <c r="C920" s="1132"/>
      <c r="D920" s="1132"/>
      <c r="E920" s="1132"/>
      <c r="F920" s="1132"/>
      <c r="G920" s="1132"/>
      <c r="H920" s="1132"/>
      <c r="I920" s="1132"/>
      <c r="J920" s="1132"/>
      <c r="K920" s="1132"/>
    </row>
    <row r="921" spans="1:11" ht="33" hidden="1" customHeight="1">
      <c r="A921" s="154"/>
      <c r="B921" s="154"/>
      <c r="C921" s="154"/>
      <c r="D921" s="154"/>
      <c r="E921" s="154"/>
      <c r="F921" s="154"/>
      <c r="G921" s="707"/>
      <c r="H921" s="707"/>
      <c r="I921" s="707"/>
      <c r="J921" s="707"/>
      <c r="K921" s="707"/>
    </row>
    <row r="922" spans="1:11" ht="35.25" hidden="1">
      <c r="A922" s="1128" t="s">
        <v>1336</v>
      </c>
      <c r="B922" s="1128"/>
      <c r="C922" s="1128"/>
      <c r="D922" s="1128"/>
      <c r="E922" s="1128"/>
      <c r="F922" s="1128"/>
      <c r="G922" s="1128"/>
      <c r="H922" s="1128"/>
      <c r="I922" s="1128"/>
      <c r="J922" s="1128"/>
      <c r="K922" s="1128"/>
    </row>
    <row r="923" spans="1:11" s="620" customFormat="1" ht="33" hidden="1">
      <c r="A923" s="65"/>
      <c r="B923" s="65"/>
      <c r="C923" s="65"/>
      <c r="D923" s="65"/>
      <c r="E923" s="65"/>
      <c r="F923" s="65"/>
      <c r="G923" s="68"/>
      <c r="H923" s="68"/>
      <c r="I923" s="68"/>
      <c r="J923" s="68"/>
      <c r="K923" s="68"/>
    </row>
    <row r="924" spans="1:11" ht="20.100000000000001" hidden="1" customHeight="1">
      <c r="A924" s="65"/>
      <c r="B924" s="65"/>
      <c r="C924" s="65"/>
      <c r="D924" s="65"/>
      <c r="E924" s="65"/>
      <c r="F924" s="65"/>
      <c r="G924" s="68"/>
      <c r="H924" s="68"/>
      <c r="I924" s="68"/>
      <c r="J924" s="68"/>
      <c r="K924" s="68"/>
    </row>
    <row r="925" spans="1:11" ht="20.100000000000001" hidden="1" customHeight="1">
      <c r="A925" s="979"/>
      <c r="B925" s="979"/>
      <c r="C925" s="979"/>
      <c r="D925" s="979"/>
      <c r="E925" s="979"/>
      <c r="F925" s="979"/>
      <c r="G925" s="979"/>
      <c r="H925" s="979"/>
      <c r="I925" s="979"/>
      <c r="J925" s="979"/>
      <c r="K925" s="979"/>
    </row>
    <row r="926" spans="1:11" ht="45.75" hidden="1" customHeight="1">
      <c r="A926" s="1030" t="s">
        <v>1383</v>
      </c>
      <c r="B926" s="1030"/>
      <c r="C926" s="1030"/>
      <c r="D926" s="1030"/>
      <c r="E926" s="1030"/>
      <c r="F926" s="1030"/>
      <c r="G926" s="1030"/>
      <c r="H926" s="1030"/>
      <c r="I926" s="1030"/>
      <c r="J926" s="1030"/>
      <c r="K926" s="1030"/>
    </row>
    <row r="927" spans="1:11" ht="66" hidden="1" customHeight="1">
      <c r="A927" s="1031" t="s">
        <v>37</v>
      </c>
      <c r="B927" s="1033"/>
      <c r="C927" s="1037" t="s">
        <v>178</v>
      </c>
      <c r="D927" s="1037" t="s">
        <v>179</v>
      </c>
      <c r="E927" s="1037" t="s">
        <v>1521</v>
      </c>
      <c r="F927" s="1037" t="s">
        <v>14</v>
      </c>
      <c r="G927" s="1037" t="s">
        <v>1515</v>
      </c>
      <c r="H927" s="1037" t="s">
        <v>16</v>
      </c>
      <c r="I927" s="1039" t="s">
        <v>1490</v>
      </c>
      <c r="J927" s="1039" t="s">
        <v>2454</v>
      </c>
      <c r="K927" s="1037" t="s">
        <v>200</v>
      </c>
    </row>
    <row r="928" spans="1:11" s="500" customFormat="1" ht="30" hidden="1" customHeight="1">
      <c r="A928" s="1034"/>
      <c r="B928" s="1036"/>
      <c r="C928" s="1038"/>
      <c r="D928" s="1038"/>
      <c r="E928" s="1038"/>
      <c r="F928" s="1038"/>
      <c r="G928" s="1038"/>
      <c r="H928" s="1038"/>
      <c r="I928" s="1039"/>
      <c r="J928" s="1039"/>
      <c r="K928" s="1038"/>
    </row>
    <row r="929" spans="1:11" s="500" customFormat="1" ht="74.25" hidden="1" customHeight="1">
      <c r="A929" s="1102" t="s">
        <v>2156</v>
      </c>
      <c r="B929" s="1103"/>
      <c r="C929" s="729"/>
      <c r="D929" s="729"/>
      <c r="E929" s="726"/>
      <c r="F929" s="727"/>
      <c r="G929" s="728"/>
      <c r="H929" s="728"/>
      <c r="I929" s="642">
        <f>I930+I939+I937</f>
        <v>44463</v>
      </c>
      <c r="J929" s="642">
        <f>J930+J939+J937</f>
        <v>29642</v>
      </c>
      <c r="K929" s="642">
        <f>I929+J929</f>
        <v>74105</v>
      </c>
    </row>
    <row r="930" spans="1:11" ht="75" hidden="1" customHeight="1">
      <c r="A930" s="1011" t="s">
        <v>1541</v>
      </c>
      <c r="B930" s="1013"/>
      <c r="C930" s="709"/>
      <c r="D930" s="709"/>
      <c r="E930" s="709"/>
      <c r="F930" s="708"/>
      <c r="G930" s="709"/>
      <c r="H930" s="710"/>
      <c r="I930" s="545">
        <f>SUM(I931:I936)</f>
        <v>32463</v>
      </c>
      <c r="J930" s="545">
        <f>SUM(J931:J936)</f>
        <v>21642</v>
      </c>
      <c r="K930" s="545">
        <f>I930+J930</f>
        <v>54105</v>
      </c>
    </row>
    <row r="931" spans="1:11" s="510" customFormat="1" ht="75" hidden="1" customHeight="1">
      <c r="A931" s="1020" t="s">
        <v>2157</v>
      </c>
      <c r="B931" s="1022"/>
      <c r="C931" s="714" t="s">
        <v>2163</v>
      </c>
      <c r="D931" s="714">
        <v>2</v>
      </c>
      <c r="E931" s="714" t="s">
        <v>2167</v>
      </c>
      <c r="F931" s="1044" t="s">
        <v>2229</v>
      </c>
      <c r="G931" s="1047">
        <v>8100</v>
      </c>
      <c r="H931" s="1099" t="s">
        <v>2273</v>
      </c>
      <c r="I931" s="717">
        <f t="shared" ref="I931:I936" si="33">K931/100*60</f>
        <v>2400</v>
      </c>
      <c r="J931" s="717">
        <f t="shared" ref="J931:J936" si="34">K931/100*40</f>
        <v>1600</v>
      </c>
      <c r="K931" s="717">
        <v>4000</v>
      </c>
    </row>
    <row r="932" spans="1:11" s="510" customFormat="1" ht="75" hidden="1" customHeight="1">
      <c r="A932" s="1020" t="s">
        <v>2159</v>
      </c>
      <c r="B932" s="1022"/>
      <c r="C932" s="714" t="s">
        <v>2164</v>
      </c>
      <c r="D932" s="714">
        <v>6</v>
      </c>
      <c r="E932" s="714" t="s">
        <v>2168</v>
      </c>
      <c r="F932" s="1045"/>
      <c r="G932" s="1048"/>
      <c r="H932" s="1100"/>
      <c r="I932" s="717">
        <f t="shared" si="33"/>
        <v>2463</v>
      </c>
      <c r="J932" s="717">
        <f t="shared" si="34"/>
        <v>1642</v>
      </c>
      <c r="K932" s="717">
        <v>4105</v>
      </c>
    </row>
    <row r="933" spans="1:11" s="510" customFormat="1" ht="74.25" hidden="1" customHeight="1">
      <c r="A933" s="1020" t="s">
        <v>1606</v>
      </c>
      <c r="B933" s="1022"/>
      <c r="C933" s="714" t="s">
        <v>1801</v>
      </c>
      <c r="D933" s="714">
        <v>100</v>
      </c>
      <c r="E933" s="714" t="s">
        <v>2169</v>
      </c>
      <c r="F933" s="1044" t="s">
        <v>2236</v>
      </c>
      <c r="G933" s="1048"/>
      <c r="H933" s="1100"/>
      <c r="I933" s="717">
        <f t="shared" si="33"/>
        <v>12000</v>
      </c>
      <c r="J933" s="717">
        <f t="shared" si="34"/>
        <v>8000</v>
      </c>
      <c r="K933" s="717">
        <v>20000</v>
      </c>
    </row>
    <row r="934" spans="1:11" s="510" customFormat="1" ht="75" hidden="1" customHeight="1">
      <c r="A934" s="1020" t="s">
        <v>2158</v>
      </c>
      <c r="B934" s="1022"/>
      <c r="C934" s="714" t="s">
        <v>2165</v>
      </c>
      <c r="D934" s="714">
        <v>618</v>
      </c>
      <c r="E934" s="714" t="s">
        <v>2170</v>
      </c>
      <c r="F934" s="1046"/>
      <c r="G934" s="1048"/>
      <c r="H934" s="1100"/>
      <c r="I934" s="717">
        <f t="shared" si="33"/>
        <v>3600</v>
      </c>
      <c r="J934" s="717">
        <f t="shared" si="34"/>
        <v>2400</v>
      </c>
      <c r="K934" s="717">
        <v>6000</v>
      </c>
    </row>
    <row r="935" spans="1:11" s="510" customFormat="1" ht="75" hidden="1" customHeight="1">
      <c r="A935" s="1020" t="s">
        <v>1840</v>
      </c>
      <c r="B935" s="1022"/>
      <c r="C935" s="714" t="s">
        <v>2166</v>
      </c>
      <c r="D935" s="714">
        <v>6</v>
      </c>
      <c r="E935" s="714" t="s">
        <v>1997</v>
      </c>
      <c r="F935" s="1044" t="s">
        <v>2231</v>
      </c>
      <c r="G935" s="1048"/>
      <c r="H935" s="1100"/>
      <c r="I935" s="717">
        <f t="shared" si="33"/>
        <v>2400</v>
      </c>
      <c r="J935" s="717">
        <f t="shared" si="34"/>
        <v>1600</v>
      </c>
      <c r="K935" s="717">
        <v>4000</v>
      </c>
    </row>
    <row r="936" spans="1:11" s="510" customFormat="1" ht="75" hidden="1" customHeight="1">
      <c r="A936" s="1020" t="s">
        <v>2160</v>
      </c>
      <c r="B936" s="1022"/>
      <c r="C936" s="714" t="s">
        <v>1934</v>
      </c>
      <c r="D936" s="714">
        <v>38</v>
      </c>
      <c r="E936" s="714" t="s">
        <v>1997</v>
      </c>
      <c r="F936" s="1046"/>
      <c r="G936" s="1049"/>
      <c r="H936" s="1101"/>
      <c r="I936" s="717">
        <f t="shared" si="33"/>
        <v>9600</v>
      </c>
      <c r="J936" s="717">
        <f t="shared" si="34"/>
        <v>6400</v>
      </c>
      <c r="K936" s="717">
        <v>16000</v>
      </c>
    </row>
    <row r="937" spans="1:11" ht="74.25" hidden="1" customHeight="1">
      <c r="A937" s="1011" t="s">
        <v>278</v>
      </c>
      <c r="B937" s="1013"/>
      <c r="C937" s="504"/>
      <c r="D937" s="709"/>
      <c r="E937" s="709"/>
      <c r="F937" s="708"/>
      <c r="G937" s="709"/>
      <c r="H937" s="710"/>
      <c r="I937" s="545">
        <f>SUM(I938)</f>
        <v>6000</v>
      </c>
      <c r="J937" s="545">
        <f>SUM(J938)</f>
        <v>4000</v>
      </c>
      <c r="K937" s="545">
        <f>I937+J937</f>
        <v>10000</v>
      </c>
    </row>
    <row r="938" spans="1:11" s="510" customFormat="1" ht="74.25" hidden="1" customHeight="1">
      <c r="A938" s="1020" t="s">
        <v>2004</v>
      </c>
      <c r="B938" s="1022"/>
      <c r="C938" s="714" t="s">
        <v>1215</v>
      </c>
      <c r="D938" s="714">
        <v>10</v>
      </c>
      <c r="E938" s="725" t="s">
        <v>2171</v>
      </c>
      <c r="F938" s="833" t="s">
        <v>2234</v>
      </c>
      <c r="G938" s="835">
        <v>8100</v>
      </c>
      <c r="H938" s="834" t="s">
        <v>2445</v>
      </c>
      <c r="I938" s="717">
        <f>K938/100*60</f>
        <v>6000</v>
      </c>
      <c r="J938" s="717">
        <f>K938/100*40</f>
        <v>4000</v>
      </c>
      <c r="K938" s="717">
        <v>10000</v>
      </c>
    </row>
    <row r="939" spans="1:11" ht="73.5" hidden="1" customHeight="1">
      <c r="A939" s="1011" t="s">
        <v>312</v>
      </c>
      <c r="B939" s="1013"/>
      <c r="C939" s="709"/>
      <c r="D939" s="709"/>
      <c r="E939" s="709"/>
      <c r="F939" s="708"/>
      <c r="G939" s="709"/>
      <c r="H939" s="710"/>
      <c r="I939" s="545">
        <f>SUM(I940:I941)</f>
        <v>6000</v>
      </c>
      <c r="J939" s="545">
        <f>SUM(J940:J941)</f>
        <v>4000</v>
      </c>
      <c r="K939" s="545">
        <f>I939+J939</f>
        <v>10000</v>
      </c>
    </row>
    <row r="940" spans="1:11" s="510" customFormat="1" ht="74.25" hidden="1" customHeight="1">
      <c r="A940" s="1020" t="s">
        <v>2161</v>
      </c>
      <c r="B940" s="1022"/>
      <c r="C940" s="714" t="s">
        <v>1801</v>
      </c>
      <c r="D940" s="714">
        <v>5</v>
      </c>
      <c r="E940" s="714" t="s">
        <v>2172</v>
      </c>
      <c r="F940" s="1044" t="s">
        <v>2224</v>
      </c>
      <c r="G940" s="1047">
        <v>8100</v>
      </c>
      <c r="H940" s="1099" t="s">
        <v>2273</v>
      </c>
      <c r="I940" s="717">
        <f>K940/100*60</f>
        <v>3600</v>
      </c>
      <c r="J940" s="717">
        <f>K940/100*40</f>
        <v>2400</v>
      </c>
      <c r="K940" s="717">
        <v>6000</v>
      </c>
    </row>
    <row r="941" spans="1:11" s="510" customFormat="1" ht="74.25" hidden="1" customHeight="1">
      <c r="A941" s="1020" t="s">
        <v>2162</v>
      </c>
      <c r="B941" s="1022"/>
      <c r="C941" s="714" t="s">
        <v>1999</v>
      </c>
      <c r="D941" s="714">
        <v>10</v>
      </c>
      <c r="E941" s="714" t="s">
        <v>2173</v>
      </c>
      <c r="F941" s="1046"/>
      <c r="G941" s="1049"/>
      <c r="H941" s="1101"/>
      <c r="I941" s="717">
        <f>K941/100*60</f>
        <v>2400</v>
      </c>
      <c r="J941" s="717">
        <f>K941/100*40</f>
        <v>1600</v>
      </c>
      <c r="K941" s="717">
        <v>4000</v>
      </c>
    </row>
    <row r="942" spans="1:11" s="743" customFormat="1" ht="36.75" hidden="1" customHeight="1">
      <c r="A942" s="1135"/>
      <c r="B942" s="1136"/>
      <c r="C942" s="738"/>
      <c r="D942" s="738"/>
      <c r="E942" s="739"/>
      <c r="F942" s="740"/>
      <c r="G942" s="741"/>
      <c r="H942" s="741"/>
      <c r="I942" s="742"/>
      <c r="J942" s="742"/>
      <c r="K942" s="742"/>
    </row>
    <row r="943" spans="1:11" ht="66" hidden="1" customHeight="1">
      <c r="A943" s="1031" t="s">
        <v>37</v>
      </c>
      <c r="B943" s="1033"/>
      <c r="C943" s="1037" t="s">
        <v>178</v>
      </c>
      <c r="D943" s="1037" t="s">
        <v>179</v>
      </c>
      <c r="E943" s="1037" t="s">
        <v>1521</v>
      </c>
      <c r="F943" s="1037" t="s">
        <v>14</v>
      </c>
      <c r="G943" s="1037" t="s">
        <v>1515</v>
      </c>
      <c r="H943" s="1037" t="s">
        <v>16</v>
      </c>
      <c r="I943" s="1039" t="s">
        <v>1490</v>
      </c>
      <c r="J943" s="1039" t="s">
        <v>2454</v>
      </c>
      <c r="K943" s="1037" t="s">
        <v>200</v>
      </c>
    </row>
    <row r="944" spans="1:11" s="500" customFormat="1" ht="30" hidden="1" customHeight="1">
      <c r="A944" s="1034"/>
      <c r="B944" s="1036"/>
      <c r="C944" s="1038"/>
      <c r="D944" s="1038"/>
      <c r="E944" s="1038"/>
      <c r="F944" s="1038"/>
      <c r="G944" s="1038"/>
      <c r="H944" s="1038"/>
      <c r="I944" s="1039"/>
      <c r="J944" s="1039"/>
      <c r="K944" s="1038"/>
    </row>
    <row r="945" spans="1:11" s="500" customFormat="1" ht="74.25" hidden="1" customHeight="1">
      <c r="A945" s="1102" t="s">
        <v>2030</v>
      </c>
      <c r="B945" s="1103"/>
      <c r="C945" s="729"/>
      <c r="D945" s="729"/>
      <c r="E945" s="726"/>
      <c r="F945" s="727"/>
      <c r="G945" s="728"/>
      <c r="H945" s="728"/>
      <c r="I945" s="642">
        <f>I948+I956+I946+I954</f>
        <v>84009</v>
      </c>
      <c r="J945" s="642">
        <f>J948+J956+J946+J954</f>
        <v>56006</v>
      </c>
      <c r="K945" s="642">
        <f>I945+J945</f>
        <v>140015</v>
      </c>
    </row>
    <row r="946" spans="1:11" s="579" customFormat="1" ht="73.5" hidden="1" customHeight="1">
      <c r="A946" s="1011" t="s">
        <v>2251</v>
      </c>
      <c r="B946" s="1012"/>
      <c r="C946" s="1012"/>
      <c r="D946" s="1012"/>
      <c r="E946" s="1012"/>
      <c r="F946" s="1013"/>
      <c r="G946" s="709"/>
      <c r="H946" s="710"/>
      <c r="I946" s="545">
        <f>SUM(I947:I947)</f>
        <v>19851</v>
      </c>
      <c r="J946" s="545">
        <f>SUM(J947:J947)</f>
        <v>13234</v>
      </c>
      <c r="K946" s="545">
        <f>I946+J946</f>
        <v>33085</v>
      </c>
    </row>
    <row r="947" spans="1:11" s="510" customFormat="1" ht="74.25" hidden="1" customHeight="1">
      <c r="A947" s="1020" t="s">
        <v>2031</v>
      </c>
      <c r="B947" s="1022"/>
      <c r="C947" s="714" t="s">
        <v>147</v>
      </c>
      <c r="D947" s="714">
        <v>189</v>
      </c>
      <c r="E947" s="714" t="s">
        <v>2032</v>
      </c>
      <c r="F947" s="829" t="s">
        <v>2260</v>
      </c>
      <c r="G947" s="827">
        <v>8100</v>
      </c>
      <c r="H947" s="828" t="s">
        <v>2273</v>
      </c>
      <c r="I947" s="717">
        <f>K947/100*60</f>
        <v>19851</v>
      </c>
      <c r="J947" s="717">
        <f>K947/100*40</f>
        <v>13234</v>
      </c>
      <c r="K947" s="717">
        <v>33085</v>
      </c>
    </row>
    <row r="948" spans="1:11" ht="75" hidden="1" customHeight="1">
      <c r="A948" s="1011" t="s">
        <v>1541</v>
      </c>
      <c r="B948" s="1013"/>
      <c r="C948" s="709"/>
      <c r="D948" s="709"/>
      <c r="E948" s="709"/>
      <c r="F948" s="708"/>
      <c r="G948" s="709"/>
      <c r="H948" s="710"/>
      <c r="I948" s="545">
        <f>SUM(I949:I953)</f>
        <v>56358</v>
      </c>
      <c r="J948" s="545">
        <f>SUM(J949:J953)</f>
        <v>37572</v>
      </c>
      <c r="K948" s="545">
        <f>I948+J948</f>
        <v>93930</v>
      </c>
    </row>
    <row r="949" spans="1:11" s="510" customFormat="1" ht="75" hidden="1" customHeight="1">
      <c r="A949" s="1020" t="s">
        <v>2035</v>
      </c>
      <c r="B949" s="1022"/>
      <c r="C949" s="714" t="s">
        <v>2042</v>
      </c>
      <c r="D949" s="714">
        <v>3</v>
      </c>
      <c r="E949" s="714" t="s">
        <v>2040</v>
      </c>
      <c r="F949" s="829" t="s">
        <v>2229</v>
      </c>
      <c r="G949" s="1047">
        <v>8100</v>
      </c>
      <c r="H949" s="1099" t="s">
        <v>2273</v>
      </c>
      <c r="I949" s="717">
        <f>K949/100*60</f>
        <v>9558</v>
      </c>
      <c r="J949" s="717">
        <f>K949/100*40</f>
        <v>6372</v>
      </c>
      <c r="K949" s="717">
        <v>15930</v>
      </c>
    </row>
    <row r="950" spans="1:11" s="510" customFormat="1" ht="74.25" hidden="1" customHeight="1">
      <c r="A950" s="1020" t="s">
        <v>2034</v>
      </c>
      <c r="B950" s="1022"/>
      <c r="C950" s="714" t="s">
        <v>2041</v>
      </c>
      <c r="D950" s="714">
        <v>60</v>
      </c>
      <c r="E950" s="714" t="s">
        <v>2040</v>
      </c>
      <c r="F950" s="829" t="s">
        <v>2230</v>
      </c>
      <c r="G950" s="1048"/>
      <c r="H950" s="1100"/>
      <c r="I950" s="717">
        <f>K950/100*60</f>
        <v>15000</v>
      </c>
      <c r="J950" s="717">
        <f>K950/100*40</f>
        <v>10000</v>
      </c>
      <c r="K950" s="717">
        <v>25000</v>
      </c>
    </row>
    <row r="951" spans="1:11" s="510" customFormat="1" ht="75" hidden="1" customHeight="1">
      <c r="A951" s="1020" t="s">
        <v>2036</v>
      </c>
      <c r="B951" s="1022"/>
      <c r="C951" s="714" t="s">
        <v>1914</v>
      </c>
      <c r="D951" s="714">
        <v>6</v>
      </c>
      <c r="E951" s="714" t="s">
        <v>2043</v>
      </c>
      <c r="F951" s="1044" t="s">
        <v>2231</v>
      </c>
      <c r="G951" s="1048"/>
      <c r="H951" s="1100"/>
      <c r="I951" s="717">
        <f>K951/100*60</f>
        <v>10800</v>
      </c>
      <c r="J951" s="717">
        <f>K951/100*40</f>
        <v>7200</v>
      </c>
      <c r="K951" s="717">
        <v>18000</v>
      </c>
    </row>
    <row r="952" spans="1:11" s="510" customFormat="1" ht="75" hidden="1" customHeight="1">
      <c r="A952" s="1020" t="s">
        <v>2033</v>
      </c>
      <c r="B952" s="1022"/>
      <c r="C952" s="714" t="s">
        <v>2039</v>
      </c>
      <c r="D952" s="714">
        <v>3</v>
      </c>
      <c r="E952" s="714" t="s">
        <v>2040</v>
      </c>
      <c r="F952" s="1045"/>
      <c r="G952" s="1048"/>
      <c r="H952" s="1100"/>
      <c r="I952" s="717">
        <f>K952/100*60</f>
        <v>12000</v>
      </c>
      <c r="J952" s="717">
        <f>K952/100*40</f>
        <v>8000</v>
      </c>
      <c r="K952" s="717">
        <v>20000</v>
      </c>
    </row>
    <row r="953" spans="1:11" s="510" customFormat="1" ht="75" hidden="1" customHeight="1">
      <c r="A953" s="1020" t="s">
        <v>2037</v>
      </c>
      <c r="B953" s="1022"/>
      <c r="C953" s="714" t="s">
        <v>1934</v>
      </c>
      <c r="D953" s="714">
        <v>15</v>
      </c>
      <c r="E953" s="714" t="s">
        <v>2044</v>
      </c>
      <c r="F953" s="1046"/>
      <c r="G953" s="1049"/>
      <c r="H953" s="1101"/>
      <c r="I953" s="717">
        <f>K953/100*60</f>
        <v>9000</v>
      </c>
      <c r="J953" s="717">
        <f>K953/100*40</f>
        <v>6000</v>
      </c>
      <c r="K953" s="717">
        <v>15000</v>
      </c>
    </row>
    <row r="954" spans="1:11" ht="74.25" hidden="1" customHeight="1">
      <c r="A954" s="1011" t="s">
        <v>278</v>
      </c>
      <c r="B954" s="1013"/>
      <c r="C954" s="504"/>
      <c r="D954" s="709"/>
      <c r="E954" s="709"/>
      <c r="F954" s="708"/>
      <c r="G954" s="709"/>
      <c r="H954" s="710"/>
      <c r="I954" s="545">
        <f>SUM(I955)</f>
        <v>6000</v>
      </c>
      <c r="J954" s="545">
        <f>SUM(J955)</f>
        <v>4000</v>
      </c>
      <c r="K954" s="545">
        <f>I954+J954</f>
        <v>10000</v>
      </c>
    </row>
    <row r="955" spans="1:11" s="510" customFormat="1" ht="74.25" hidden="1" customHeight="1">
      <c r="A955" s="1020" t="s">
        <v>2004</v>
      </c>
      <c r="B955" s="1022"/>
      <c r="C955" s="714" t="s">
        <v>1215</v>
      </c>
      <c r="D955" s="714">
        <v>3</v>
      </c>
      <c r="E955" s="725" t="s">
        <v>2045</v>
      </c>
      <c r="F955" s="833" t="s">
        <v>2234</v>
      </c>
      <c r="G955" s="835">
        <v>8100</v>
      </c>
      <c r="H955" s="834" t="s">
        <v>2445</v>
      </c>
      <c r="I955" s="717">
        <f>K955/100*60</f>
        <v>6000</v>
      </c>
      <c r="J955" s="717">
        <f>K955/100*40</f>
        <v>4000</v>
      </c>
      <c r="K955" s="717">
        <v>10000</v>
      </c>
    </row>
    <row r="956" spans="1:11" ht="73.5" hidden="1" customHeight="1">
      <c r="A956" s="1011" t="s">
        <v>312</v>
      </c>
      <c r="B956" s="1013"/>
      <c r="C956" s="709"/>
      <c r="D956" s="709"/>
      <c r="E956" s="709"/>
      <c r="F956" s="708"/>
      <c r="G956" s="709"/>
      <c r="H956" s="710"/>
      <c r="I956" s="545">
        <f>SUM(I957:I957)</f>
        <v>1800</v>
      </c>
      <c r="J956" s="545">
        <f>SUM(J957:J957)</f>
        <v>1200</v>
      </c>
      <c r="K956" s="545">
        <f>I956+J956</f>
        <v>3000</v>
      </c>
    </row>
    <row r="957" spans="1:11" s="510" customFormat="1" ht="74.25" hidden="1" customHeight="1">
      <c r="A957" s="1020" t="s">
        <v>2038</v>
      </c>
      <c r="B957" s="1022"/>
      <c r="C957" s="714" t="s">
        <v>2041</v>
      </c>
      <c r="D957" s="714">
        <v>10</v>
      </c>
      <c r="E957" s="714" t="s">
        <v>2046</v>
      </c>
      <c r="F957" s="833" t="s">
        <v>2224</v>
      </c>
      <c r="G957" s="835">
        <v>8100</v>
      </c>
      <c r="H957" s="834" t="s">
        <v>2273</v>
      </c>
      <c r="I957" s="717">
        <f>K957/100*60</f>
        <v>1800</v>
      </c>
      <c r="J957" s="717">
        <f>K957/100*40</f>
        <v>1200</v>
      </c>
      <c r="K957" s="717">
        <v>3000</v>
      </c>
    </row>
    <row r="958" spans="1:11" s="510" customFormat="1" ht="74.25" hidden="1" customHeight="1">
      <c r="A958" s="753"/>
      <c r="B958" s="753"/>
      <c r="C958" s="754"/>
      <c r="D958" s="754"/>
      <c r="E958" s="754"/>
      <c r="F958" s="755"/>
      <c r="G958" s="758"/>
      <c r="H958" s="756"/>
      <c r="I958" s="757"/>
      <c r="J958" s="757"/>
      <c r="K958" s="757"/>
    </row>
    <row r="959" spans="1:11" s="510" customFormat="1" ht="74.25" hidden="1" customHeight="1">
      <c r="A959" s="753"/>
      <c r="B959" s="753"/>
      <c r="C959" s="754"/>
      <c r="D959" s="754"/>
      <c r="E959" s="754"/>
      <c r="F959" s="755"/>
      <c r="G959" s="758"/>
      <c r="H959" s="756"/>
      <c r="I959" s="757"/>
      <c r="J959" s="757"/>
      <c r="K959" s="757"/>
    </row>
    <row r="960" spans="1:11" s="510" customFormat="1" ht="74.25" hidden="1" customHeight="1">
      <c r="A960" s="753"/>
      <c r="B960" s="753"/>
      <c r="C960" s="754"/>
      <c r="D960" s="754"/>
      <c r="E960" s="754"/>
      <c r="F960" s="755"/>
      <c r="G960" s="758"/>
      <c r="H960" s="756"/>
      <c r="I960" s="757"/>
      <c r="J960" s="757"/>
      <c r="K960" s="757"/>
    </row>
    <row r="961" spans="1:11" s="510" customFormat="1" ht="74.25" hidden="1" customHeight="1">
      <c r="A961" s="753"/>
      <c r="B961" s="753"/>
      <c r="C961" s="754"/>
      <c r="D961" s="754"/>
      <c r="E961" s="754"/>
      <c r="F961" s="755"/>
      <c r="G961" s="758"/>
      <c r="H961" s="756"/>
      <c r="I961" s="757"/>
      <c r="J961" s="757"/>
      <c r="K961" s="757"/>
    </row>
    <row r="962" spans="1:11" ht="34.5" hidden="1" customHeight="1">
      <c r="A962" s="1128" t="s">
        <v>51</v>
      </c>
      <c r="B962" s="1128"/>
      <c r="C962" s="1128"/>
      <c r="D962" s="1128"/>
      <c r="E962" s="1128"/>
      <c r="F962" s="1128"/>
      <c r="G962" s="1128"/>
      <c r="H962" s="1128"/>
      <c r="I962" s="1128"/>
      <c r="J962" s="1128"/>
      <c r="K962" s="1128"/>
    </row>
    <row r="963" spans="1:11" ht="30.75" hidden="1" customHeight="1">
      <c r="A963" s="1128" t="s">
        <v>52</v>
      </c>
      <c r="B963" s="1128"/>
      <c r="C963" s="1128"/>
      <c r="D963" s="1128"/>
      <c r="E963" s="1128"/>
      <c r="F963" s="1128"/>
      <c r="G963" s="1128"/>
      <c r="H963" s="1128"/>
      <c r="I963" s="1128"/>
      <c r="J963" s="1128"/>
      <c r="K963" s="1128"/>
    </row>
    <row r="964" spans="1:11" ht="33" hidden="1" customHeight="1">
      <c r="A964" s="1132" t="s">
        <v>50</v>
      </c>
      <c r="B964" s="1132"/>
      <c r="C964" s="1132"/>
      <c r="D964" s="1132"/>
      <c r="E964" s="1132"/>
      <c r="F964" s="1132"/>
      <c r="G964" s="1132"/>
      <c r="H964" s="1132"/>
      <c r="I964" s="1132"/>
      <c r="J964" s="1132"/>
      <c r="K964" s="1132"/>
    </row>
    <row r="965" spans="1:11" ht="33" hidden="1" customHeight="1">
      <c r="A965" s="154"/>
      <c r="B965" s="154"/>
      <c r="C965" s="154"/>
      <c r="D965" s="154"/>
      <c r="E965" s="154"/>
      <c r="F965" s="154"/>
      <c r="G965" s="707"/>
      <c r="H965" s="707"/>
      <c r="I965" s="707"/>
      <c r="J965" s="707"/>
      <c r="K965" s="707"/>
    </row>
    <row r="966" spans="1:11" ht="35.25" hidden="1">
      <c r="A966" s="1128" t="s">
        <v>1336</v>
      </c>
      <c r="B966" s="1128"/>
      <c r="C966" s="1128"/>
      <c r="D966" s="1128"/>
      <c r="E966" s="1128"/>
      <c r="F966" s="1128"/>
      <c r="G966" s="1128"/>
      <c r="H966" s="1128"/>
      <c r="I966" s="1128"/>
      <c r="J966" s="1128"/>
      <c r="K966" s="1128"/>
    </row>
    <row r="967" spans="1:11" s="620" customFormat="1" ht="33" hidden="1">
      <c r="A967" s="65"/>
      <c r="B967" s="65"/>
      <c r="C967" s="65"/>
      <c r="D967" s="65"/>
      <c r="E967" s="65"/>
      <c r="F967" s="65"/>
      <c r="G967" s="68"/>
      <c r="H967" s="68"/>
      <c r="I967" s="68"/>
      <c r="J967" s="68"/>
      <c r="K967" s="68"/>
    </row>
    <row r="968" spans="1:11" ht="20.100000000000001" hidden="1" customHeight="1">
      <c r="A968" s="65"/>
      <c r="B968" s="65"/>
      <c r="C968" s="65"/>
      <c r="D968" s="65"/>
      <c r="E968" s="65"/>
      <c r="F968" s="65"/>
      <c r="G968" s="68"/>
      <c r="H968" s="68"/>
      <c r="I968" s="68"/>
      <c r="J968" s="68"/>
      <c r="K968" s="68"/>
    </row>
    <row r="969" spans="1:11" ht="20.100000000000001" hidden="1" customHeight="1">
      <c r="A969" s="979"/>
      <c r="B969" s="979"/>
      <c r="C969" s="979"/>
      <c r="D969" s="979"/>
      <c r="E969" s="979"/>
      <c r="F969" s="979"/>
      <c r="G969" s="979"/>
      <c r="H969" s="979"/>
      <c r="I969" s="979"/>
      <c r="J969" s="979"/>
      <c r="K969" s="979"/>
    </row>
    <row r="970" spans="1:11" ht="45.75" hidden="1" customHeight="1">
      <c r="A970" s="1030" t="s">
        <v>1383</v>
      </c>
      <c r="B970" s="1030"/>
      <c r="C970" s="1030"/>
      <c r="D970" s="1030"/>
      <c r="E970" s="1030"/>
      <c r="F970" s="1030"/>
      <c r="G970" s="1030"/>
      <c r="H970" s="1030"/>
      <c r="I970" s="1030"/>
      <c r="J970" s="1030"/>
      <c r="K970" s="1030"/>
    </row>
    <row r="971" spans="1:11" ht="66" hidden="1" customHeight="1">
      <c r="A971" s="1031" t="s">
        <v>37</v>
      </c>
      <c r="B971" s="1033"/>
      <c r="C971" s="1037" t="s">
        <v>178</v>
      </c>
      <c r="D971" s="1037" t="s">
        <v>179</v>
      </c>
      <c r="E971" s="1037" t="s">
        <v>1521</v>
      </c>
      <c r="F971" s="1037" t="s">
        <v>14</v>
      </c>
      <c r="G971" s="1037" t="s">
        <v>1515</v>
      </c>
      <c r="H971" s="1037" t="s">
        <v>16</v>
      </c>
      <c r="I971" s="1039" t="s">
        <v>1490</v>
      </c>
      <c r="J971" s="1039" t="s">
        <v>2203</v>
      </c>
      <c r="K971" s="1037" t="s">
        <v>200</v>
      </c>
    </row>
    <row r="972" spans="1:11" s="500" customFormat="1" ht="30" hidden="1">
      <c r="A972" s="1034"/>
      <c r="B972" s="1036"/>
      <c r="C972" s="1038"/>
      <c r="D972" s="1038"/>
      <c r="E972" s="1038"/>
      <c r="F972" s="1038"/>
      <c r="G972" s="1038"/>
      <c r="H972" s="1038"/>
      <c r="I972" s="1039"/>
      <c r="J972" s="1039"/>
      <c r="K972" s="1038"/>
    </row>
    <row r="973" spans="1:11" s="500" customFormat="1" ht="74.25" hidden="1" customHeight="1">
      <c r="A973" s="1102" t="s">
        <v>2047</v>
      </c>
      <c r="B973" s="1103"/>
      <c r="C973" s="729"/>
      <c r="D973" s="729"/>
      <c r="E973" s="726"/>
      <c r="F973" s="727"/>
      <c r="G973" s="728"/>
      <c r="H973" s="728"/>
      <c r="I973" s="642">
        <f>I981+I989+I974+I987</f>
        <v>499128</v>
      </c>
      <c r="J973" s="642">
        <f>J981+J989+J974+J987</f>
        <v>332752</v>
      </c>
      <c r="K973" s="642">
        <f>I973+J973</f>
        <v>831880</v>
      </c>
    </row>
    <row r="974" spans="1:11" s="579" customFormat="1" ht="73.5" hidden="1" customHeight="1">
      <c r="A974" s="1011" t="s">
        <v>2251</v>
      </c>
      <c r="B974" s="1012"/>
      <c r="C974" s="1012"/>
      <c r="D974" s="1012"/>
      <c r="E974" s="1012"/>
      <c r="F974" s="1013"/>
      <c r="G974" s="709"/>
      <c r="H974" s="710"/>
      <c r="I974" s="545">
        <f>SUM(I975:I980)</f>
        <v>192533.4</v>
      </c>
      <c r="J974" s="545">
        <f>SUM(J975:J980)</f>
        <v>128355.6</v>
      </c>
      <c r="K974" s="545">
        <f>I974+J974</f>
        <v>320889</v>
      </c>
    </row>
    <row r="975" spans="1:11" s="510" customFormat="1" ht="74.25" hidden="1" customHeight="1">
      <c r="A975" s="1020" t="s">
        <v>374</v>
      </c>
      <c r="B975" s="1022"/>
      <c r="C975" s="714" t="s">
        <v>147</v>
      </c>
      <c r="D975" s="714">
        <v>149</v>
      </c>
      <c r="E975" s="714" t="s">
        <v>2051</v>
      </c>
      <c r="F975" s="829" t="s">
        <v>2261</v>
      </c>
      <c r="G975" s="1047">
        <v>8100</v>
      </c>
      <c r="H975" s="1099" t="s">
        <v>2273</v>
      </c>
      <c r="I975" s="717">
        <f t="shared" ref="I975:I980" si="35">K975/100*60</f>
        <v>14620.800000000001</v>
      </c>
      <c r="J975" s="717">
        <f t="shared" ref="J975:J980" si="36">K975/100*40</f>
        <v>9747.2000000000007</v>
      </c>
      <c r="K975" s="717">
        <v>24368</v>
      </c>
    </row>
    <row r="976" spans="1:11" s="510" customFormat="1" ht="74.25" hidden="1" customHeight="1">
      <c r="A976" s="1020" t="s">
        <v>375</v>
      </c>
      <c r="B976" s="1022"/>
      <c r="C976" s="714" t="s">
        <v>147</v>
      </c>
      <c r="D976" s="714">
        <v>190</v>
      </c>
      <c r="E976" s="714" t="s">
        <v>2051</v>
      </c>
      <c r="F976" s="829" t="s">
        <v>2262</v>
      </c>
      <c r="G976" s="1048"/>
      <c r="H976" s="1100"/>
      <c r="I976" s="717">
        <f t="shared" si="35"/>
        <v>32507.999999999996</v>
      </c>
      <c r="J976" s="717">
        <f t="shared" si="36"/>
        <v>21672</v>
      </c>
      <c r="K976" s="717">
        <v>54180</v>
      </c>
    </row>
    <row r="977" spans="1:11" s="510" customFormat="1" ht="74.25" hidden="1" customHeight="1">
      <c r="A977" s="1020" t="s">
        <v>376</v>
      </c>
      <c r="B977" s="1022"/>
      <c r="C977" s="714" t="s">
        <v>147</v>
      </c>
      <c r="D977" s="714">
        <v>150</v>
      </c>
      <c r="E977" s="714" t="s">
        <v>2051</v>
      </c>
      <c r="F977" s="829" t="s">
        <v>2263</v>
      </c>
      <c r="G977" s="1048"/>
      <c r="H977" s="1100"/>
      <c r="I977" s="717">
        <f t="shared" si="35"/>
        <v>6844.8</v>
      </c>
      <c r="J977" s="717">
        <f t="shared" si="36"/>
        <v>4563.2</v>
      </c>
      <c r="K977" s="717">
        <v>11408</v>
      </c>
    </row>
    <row r="978" spans="1:11" s="510" customFormat="1" ht="74.25" hidden="1" customHeight="1">
      <c r="A978" s="1020" t="s">
        <v>2048</v>
      </c>
      <c r="B978" s="1022"/>
      <c r="C978" s="714" t="s">
        <v>147</v>
      </c>
      <c r="D978" s="714">
        <v>78</v>
      </c>
      <c r="E978" s="714" t="s">
        <v>2051</v>
      </c>
      <c r="F978" s="829" t="s">
        <v>2264</v>
      </c>
      <c r="G978" s="1048"/>
      <c r="H978" s="1100"/>
      <c r="I978" s="717">
        <f t="shared" si="35"/>
        <v>32296.799999999999</v>
      </c>
      <c r="J978" s="717">
        <f t="shared" si="36"/>
        <v>21531.199999999997</v>
      </c>
      <c r="K978" s="717">
        <v>53828</v>
      </c>
    </row>
    <row r="979" spans="1:11" s="510" customFormat="1" ht="74.25" hidden="1" customHeight="1">
      <c r="A979" s="1020" t="s">
        <v>2049</v>
      </c>
      <c r="B979" s="1022"/>
      <c r="C979" s="714" t="s">
        <v>147</v>
      </c>
      <c r="D979" s="714">
        <v>154</v>
      </c>
      <c r="E979" s="714" t="s">
        <v>2051</v>
      </c>
      <c r="F979" s="829" t="s">
        <v>2265</v>
      </c>
      <c r="G979" s="1048"/>
      <c r="H979" s="1100"/>
      <c r="I979" s="717">
        <f t="shared" si="35"/>
        <v>51555</v>
      </c>
      <c r="J979" s="717">
        <f t="shared" si="36"/>
        <v>34370</v>
      </c>
      <c r="K979" s="717">
        <v>85925</v>
      </c>
    </row>
    <row r="980" spans="1:11" s="510" customFormat="1" ht="74.25" hidden="1" customHeight="1">
      <c r="A980" s="1020" t="s">
        <v>2050</v>
      </c>
      <c r="B980" s="1022"/>
      <c r="C980" s="714" t="s">
        <v>147</v>
      </c>
      <c r="D980" s="714">
        <v>246</v>
      </c>
      <c r="E980" s="714" t="s">
        <v>2051</v>
      </c>
      <c r="F980" s="829" t="s">
        <v>2266</v>
      </c>
      <c r="G980" s="1049"/>
      <c r="H980" s="1101"/>
      <c r="I980" s="717">
        <f t="shared" si="35"/>
        <v>54708</v>
      </c>
      <c r="J980" s="717">
        <f t="shared" si="36"/>
        <v>36472</v>
      </c>
      <c r="K980" s="717">
        <v>91180</v>
      </c>
    </row>
    <row r="981" spans="1:11" ht="75" hidden="1" customHeight="1">
      <c r="A981" s="1011" t="s">
        <v>1541</v>
      </c>
      <c r="B981" s="1013"/>
      <c r="C981" s="709"/>
      <c r="D981" s="709"/>
      <c r="E981" s="709"/>
      <c r="F981" s="708"/>
      <c r="G981" s="709"/>
      <c r="H981" s="710"/>
      <c r="I981" s="545">
        <f>SUM(I982:I986)</f>
        <v>232736.40000000002</v>
      </c>
      <c r="J981" s="545">
        <f>SUM(J982:J986)</f>
        <v>155157.6</v>
      </c>
      <c r="K981" s="545">
        <f>I981+J981</f>
        <v>387894</v>
      </c>
    </row>
    <row r="982" spans="1:11" s="510" customFormat="1" ht="75" hidden="1" customHeight="1">
      <c r="A982" s="1020" t="s">
        <v>2060</v>
      </c>
      <c r="B982" s="1022"/>
      <c r="C982" s="714" t="s">
        <v>2056</v>
      </c>
      <c r="D982" s="714">
        <v>16</v>
      </c>
      <c r="E982" s="714" t="s">
        <v>2051</v>
      </c>
      <c r="F982" s="1044" t="s">
        <v>2229</v>
      </c>
      <c r="G982" s="1047">
        <v>8100</v>
      </c>
      <c r="H982" s="1099" t="s">
        <v>2273</v>
      </c>
      <c r="I982" s="717">
        <f>K982/100*60</f>
        <v>27000</v>
      </c>
      <c r="J982" s="717">
        <f>K982/100*40</f>
        <v>18000</v>
      </c>
      <c r="K982" s="717">
        <v>45000</v>
      </c>
    </row>
    <row r="983" spans="1:11" s="510" customFormat="1" ht="75" hidden="1" customHeight="1">
      <c r="A983" s="1020" t="s">
        <v>2061</v>
      </c>
      <c r="B983" s="1022"/>
      <c r="C983" s="714" t="s">
        <v>2057</v>
      </c>
      <c r="D983" s="714">
        <v>1</v>
      </c>
      <c r="E983" s="714" t="s">
        <v>2051</v>
      </c>
      <c r="F983" s="1045"/>
      <c r="G983" s="1048"/>
      <c r="H983" s="1100"/>
      <c r="I983" s="717">
        <f>K983/100*60</f>
        <v>6600</v>
      </c>
      <c r="J983" s="717">
        <f>K983/100*40</f>
        <v>4400</v>
      </c>
      <c r="K983" s="717">
        <v>11000</v>
      </c>
    </row>
    <row r="984" spans="1:11" s="510" customFormat="1" ht="74.25" hidden="1" customHeight="1">
      <c r="A984" s="1020" t="s">
        <v>2062</v>
      </c>
      <c r="B984" s="1022"/>
      <c r="C984" s="714" t="s">
        <v>2053</v>
      </c>
      <c r="D984" s="714">
        <v>2</v>
      </c>
      <c r="E984" s="714" t="s">
        <v>2054</v>
      </c>
      <c r="F984" s="1044" t="s">
        <v>2230</v>
      </c>
      <c r="G984" s="1048"/>
      <c r="H984" s="1100"/>
      <c r="I984" s="717">
        <f>K984/100*60</f>
        <v>5700</v>
      </c>
      <c r="J984" s="717">
        <f>K984/100*40</f>
        <v>3800</v>
      </c>
      <c r="K984" s="717">
        <v>9500</v>
      </c>
    </row>
    <row r="985" spans="1:11" s="510" customFormat="1" ht="75" hidden="1" customHeight="1">
      <c r="A985" s="1020" t="s">
        <v>2063</v>
      </c>
      <c r="B985" s="1022"/>
      <c r="C985" s="714" t="s">
        <v>2055</v>
      </c>
      <c r="D985" s="716">
        <v>0.95</v>
      </c>
      <c r="E985" s="714" t="s">
        <v>2051</v>
      </c>
      <c r="F985" s="1046"/>
      <c r="G985" s="1048"/>
      <c r="H985" s="1100"/>
      <c r="I985" s="717">
        <f>K985/100*60</f>
        <v>78000</v>
      </c>
      <c r="J985" s="717">
        <f>K985/100*40</f>
        <v>52000</v>
      </c>
      <c r="K985" s="717">
        <v>130000</v>
      </c>
    </row>
    <row r="986" spans="1:11" s="510" customFormat="1" ht="75" hidden="1" customHeight="1">
      <c r="A986" s="1020" t="s">
        <v>2064</v>
      </c>
      <c r="B986" s="1022"/>
      <c r="C986" s="714" t="s">
        <v>2058</v>
      </c>
      <c r="D986" s="714">
        <v>70</v>
      </c>
      <c r="E986" s="714" t="s">
        <v>2059</v>
      </c>
      <c r="F986" s="829" t="s">
        <v>2231</v>
      </c>
      <c r="G986" s="1049"/>
      <c r="H986" s="1101"/>
      <c r="I986" s="717">
        <f>K986/100*60</f>
        <v>115436.40000000001</v>
      </c>
      <c r="J986" s="717">
        <f>K986/100*40</f>
        <v>76957.600000000006</v>
      </c>
      <c r="K986" s="717">
        <v>192394</v>
      </c>
    </row>
    <row r="987" spans="1:11" ht="74.25" hidden="1" customHeight="1">
      <c r="A987" s="1011" t="s">
        <v>278</v>
      </c>
      <c r="B987" s="1013"/>
      <c r="C987" s="504"/>
      <c r="D987" s="709"/>
      <c r="E987" s="709"/>
      <c r="F987" s="708"/>
      <c r="G987" s="709"/>
      <c r="H987" s="710"/>
      <c r="I987" s="545">
        <f>SUM(I988)</f>
        <v>16200</v>
      </c>
      <c r="J987" s="545">
        <f>SUM(J988)</f>
        <v>10800</v>
      </c>
      <c r="K987" s="545">
        <f>I987+J987</f>
        <v>27000</v>
      </c>
    </row>
    <row r="988" spans="1:11" s="510" customFormat="1" ht="74.25" hidden="1" customHeight="1">
      <c r="A988" s="1020" t="s">
        <v>2004</v>
      </c>
      <c r="B988" s="1022"/>
      <c r="C988" s="714" t="s">
        <v>1215</v>
      </c>
      <c r="D988" s="714">
        <v>13</v>
      </c>
      <c r="E988" s="725" t="s">
        <v>2051</v>
      </c>
      <c r="F988" s="833" t="s">
        <v>2234</v>
      </c>
      <c r="G988" s="835">
        <v>8100</v>
      </c>
      <c r="H988" s="834" t="s">
        <v>2445</v>
      </c>
      <c r="I988" s="717">
        <f>K988/100*60</f>
        <v>16200</v>
      </c>
      <c r="J988" s="717">
        <f>K988/100*40</f>
        <v>10800</v>
      </c>
      <c r="K988" s="717">
        <v>27000</v>
      </c>
    </row>
    <row r="989" spans="1:11" ht="73.5" hidden="1" customHeight="1">
      <c r="A989" s="1011" t="s">
        <v>312</v>
      </c>
      <c r="B989" s="1013"/>
      <c r="C989" s="709"/>
      <c r="D989" s="709"/>
      <c r="E989" s="709"/>
      <c r="F989" s="708"/>
      <c r="G989" s="709"/>
      <c r="H989" s="710"/>
      <c r="I989" s="545">
        <f>SUM(I990:I992)</f>
        <v>57658.2</v>
      </c>
      <c r="J989" s="545">
        <f>SUM(J990:J992)</f>
        <v>38438.800000000003</v>
      </c>
      <c r="K989" s="545">
        <f>I989+J989</f>
        <v>96097</v>
      </c>
    </row>
    <row r="990" spans="1:11" s="510" customFormat="1" ht="75" hidden="1" customHeight="1">
      <c r="A990" s="1020" t="s">
        <v>2065</v>
      </c>
      <c r="B990" s="1022"/>
      <c r="C990" s="714" t="s">
        <v>2052</v>
      </c>
      <c r="D990" s="714">
        <v>92</v>
      </c>
      <c r="E990" s="714" t="s">
        <v>2051</v>
      </c>
      <c r="F990" s="1044" t="s">
        <v>2224</v>
      </c>
      <c r="G990" s="1047">
        <v>8100</v>
      </c>
      <c r="H990" s="1099" t="s">
        <v>2273</v>
      </c>
      <c r="I990" s="717">
        <f>K990/100*60</f>
        <v>5550</v>
      </c>
      <c r="J990" s="717">
        <f>K990/100*40</f>
        <v>3700</v>
      </c>
      <c r="K990" s="717">
        <v>9250</v>
      </c>
    </row>
    <row r="991" spans="1:11" s="510" customFormat="1" ht="74.25" hidden="1" customHeight="1">
      <c r="A991" s="1020" t="s">
        <v>2066</v>
      </c>
      <c r="B991" s="1022"/>
      <c r="C991" s="714" t="s">
        <v>2057</v>
      </c>
      <c r="D991" s="714">
        <v>1</v>
      </c>
      <c r="E991" s="714" t="s">
        <v>2051</v>
      </c>
      <c r="F991" s="1045"/>
      <c r="G991" s="1048"/>
      <c r="H991" s="1100"/>
      <c r="I991" s="717">
        <f>K991/100*60</f>
        <v>24000</v>
      </c>
      <c r="J991" s="717">
        <f>K991/100*40</f>
        <v>16000</v>
      </c>
      <c r="K991" s="717">
        <v>40000</v>
      </c>
    </row>
    <row r="992" spans="1:11" s="510" customFormat="1" ht="74.25" hidden="1" customHeight="1">
      <c r="A992" s="1020" t="s">
        <v>2067</v>
      </c>
      <c r="B992" s="1022"/>
      <c r="C992" s="714" t="s">
        <v>2057</v>
      </c>
      <c r="D992" s="714">
        <v>1</v>
      </c>
      <c r="E992" s="714" t="s">
        <v>2051</v>
      </c>
      <c r="F992" s="1046"/>
      <c r="G992" s="1049"/>
      <c r="H992" s="1101"/>
      <c r="I992" s="717">
        <f>K992/100*60</f>
        <v>28108.2</v>
      </c>
      <c r="J992" s="717">
        <f>K992/100*40</f>
        <v>18738.800000000003</v>
      </c>
      <c r="K992" s="717">
        <v>46847</v>
      </c>
    </row>
    <row r="993" spans="1:11" s="510" customFormat="1" ht="74.25" hidden="1" customHeight="1">
      <c r="A993" s="753"/>
      <c r="B993" s="753"/>
      <c r="C993" s="754"/>
      <c r="D993" s="754"/>
      <c r="E993" s="754"/>
      <c r="F993" s="755"/>
      <c r="G993" s="758"/>
      <c r="H993" s="756"/>
      <c r="I993" s="757"/>
      <c r="J993" s="757"/>
      <c r="K993" s="757"/>
    </row>
    <row r="994" spans="1:11" s="510" customFormat="1" ht="74.25" hidden="1" customHeight="1">
      <c r="A994" s="753"/>
      <c r="B994" s="753"/>
      <c r="C994" s="754"/>
      <c r="D994" s="754"/>
      <c r="E994" s="754"/>
      <c r="F994" s="755"/>
      <c r="G994" s="758"/>
      <c r="H994" s="756"/>
      <c r="I994" s="757"/>
      <c r="J994" s="757"/>
      <c r="K994" s="757"/>
    </row>
    <row r="995" spans="1:11" s="510" customFormat="1" ht="74.25" hidden="1" customHeight="1">
      <c r="A995" s="753"/>
      <c r="B995" s="753"/>
      <c r="C995" s="754"/>
      <c r="D995" s="754"/>
      <c r="E995" s="754"/>
      <c r="F995" s="755"/>
      <c r="G995" s="758"/>
      <c r="H995" s="756"/>
      <c r="I995" s="757"/>
      <c r="J995" s="757"/>
      <c r="K995" s="757"/>
    </row>
    <row r="996" spans="1:11" s="510" customFormat="1" ht="74.25" hidden="1" customHeight="1">
      <c r="A996" s="753"/>
      <c r="B996" s="753"/>
      <c r="C996" s="754"/>
      <c r="D996" s="754"/>
      <c r="E996" s="754"/>
      <c r="F996" s="755"/>
      <c r="G996" s="758"/>
      <c r="H996" s="756"/>
      <c r="I996" s="757"/>
      <c r="J996" s="757"/>
      <c r="K996" s="757"/>
    </row>
    <row r="997" spans="1:11" s="510" customFormat="1" ht="74.25" hidden="1" customHeight="1">
      <c r="A997" s="753"/>
      <c r="B997" s="753"/>
      <c r="C997" s="754"/>
      <c r="D997" s="754"/>
      <c r="E997" s="754"/>
      <c r="F997" s="755"/>
      <c r="G997" s="758"/>
      <c r="H997" s="756"/>
      <c r="I997" s="757"/>
      <c r="J997" s="757"/>
      <c r="K997" s="757"/>
    </row>
    <row r="998" spans="1:11" s="510" customFormat="1" ht="74.25" hidden="1" customHeight="1">
      <c r="A998" s="753"/>
      <c r="B998" s="753"/>
      <c r="C998" s="754"/>
      <c r="D998" s="754"/>
      <c r="E998" s="754"/>
      <c r="F998" s="755"/>
      <c r="G998" s="758"/>
      <c r="H998" s="756"/>
      <c r="I998" s="757"/>
      <c r="J998" s="757"/>
      <c r="K998" s="757"/>
    </row>
    <row r="999" spans="1:11" s="510" customFormat="1" ht="74.25" hidden="1" customHeight="1">
      <c r="A999" s="753"/>
      <c r="B999" s="753"/>
      <c r="C999" s="754"/>
      <c r="D999" s="754"/>
      <c r="E999" s="754"/>
      <c r="F999" s="755"/>
      <c r="G999" s="758"/>
      <c r="H999" s="756"/>
      <c r="I999" s="757"/>
      <c r="J999" s="757"/>
      <c r="K999" s="757"/>
    </row>
    <row r="1000" spans="1:11" s="510" customFormat="1" ht="74.25" hidden="1" customHeight="1">
      <c r="A1000" s="753"/>
      <c r="B1000" s="753"/>
      <c r="C1000" s="754"/>
      <c r="D1000" s="754"/>
      <c r="E1000" s="754"/>
      <c r="F1000" s="755"/>
      <c r="G1000" s="758"/>
      <c r="H1000" s="756"/>
      <c r="I1000" s="757"/>
      <c r="J1000" s="757"/>
      <c r="K1000" s="757"/>
    </row>
    <row r="1001" spans="1:11" s="510" customFormat="1" ht="74.25" hidden="1" customHeight="1">
      <c r="A1001" s="753"/>
      <c r="B1001" s="753"/>
      <c r="C1001" s="754"/>
      <c r="D1001" s="754"/>
      <c r="E1001" s="754"/>
      <c r="F1001" s="755"/>
      <c r="G1001" s="758"/>
      <c r="H1001" s="756"/>
      <c r="I1001" s="757"/>
      <c r="J1001" s="757"/>
      <c r="K1001" s="757"/>
    </row>
    <row r="1002" spans="1:11" s="510" customFormat="1" ht="74.25" hidden="1" customHeight="1">
      <c r="A1002" s="753"/>
      <c r="B1002" s="753"/>
      <c r="C1002" s="754"/>
      <c r="D1002" s="754"/>
      <c r="E1002" s="754"/>
      <c r="F1002" s="755"/>
      <c r="G1002" s="758"/>
      <c r="H1002" s="756"/>
      <c r="I1002" s="757"/>
      <c r="J1002" s="757"/>
      <c r="K1002" s="757"/>
    </row>
    <row r="1003" spans="1:11" s="510" customFormat="1" ht="74.25" hidden="1" customHeight="1">
      <c r="A1003" s="753"/>
      <c r="B1003" s="753"/>
      <c r="C1003" s="754"/>
      <c r="D1003" s="754"/>
      <c r="E1003" s="754"/>
      <c r="F1003" s="755"/>
      <c r="G1003" s="758"/>
      <c r="H1003" s="756"/>
      <c r="I1003" s="757"/>
      <c r="J1003" s="757"/>
      <c r="K1003" s="757"/>
    </row>
    <row r="1004" spans="1:11" ht="34.5" hidden="1" customHeight="1">
      <c r="A1004" s="1128" t="s">
        <v>51</v>
      </c>
      <c r="B1004" s="1128"/>
      <c r="C1004" s="1128"/>
      <c r="D1004" s="1128"/>
      <c r="E1004" s="1128"/>
      <c r="F1004" s="1128"/>
      <c r="G1004" s="1128"/>
      <c r="H1004" s="1128"/>
      <c r="I1004" s="1128"/>
      <c r="J1004" s="1128"/>
      <c r="K1004" s="1128"/>
    </row>
    <row r="1005" spans="1:11" ht="30.75" hidden="1" customHeight="1">
      <c r="A1005" s="1128" t="s">
        <v>52</v>
      </c>
      <c r="B1005" s="1128"/>
      <c r="C1005" s="1128"/>
      <c r="D1005" s="1128"/>
      <c r="E1005" s="1128"/>
      <c r="F1005" s="1128"/>
      <c r="G1005" s="1128"/>
      <c r="H1005" s="1128"/>
      <c r="I1005" s="1128"/>
      <c r="J1005" s="1128"/>
      <c r="K1005" s="1128"/>
    </row>
    <row r="1006" spans="1:11" ht="33" hidden="1" customHeight="1">
      <c r="A1006" s="1132" t="s">
        <v>50</v>
      </c>
      <c r="B1006" s="1132"/>
      <c r="C1006" s="1132"/>
      <c r="D1006" s="1132"/>
      <c r="E1006" s="1132"/>
      <c r="F1006" s="1132"/>
      <c r="G1006" s="1132"/>
      <c r="H1006" s="1132"/>
      <c r="I1006" s="1132"/>
      <c r="J1006" s="1132"/>
      <c r="K1006" s="1132"/>
    </row>
    <row r="1007" spans="1:11" ht="33" hidden="1" customHeight="1">
      <c r="A1007" s="154"/>
      <c r="B1007" s="154"/>
      <c r="C1007" s="154"/>
      <c r="D1007" s="154"/>
      <c r="E1007" s="154"/>
      <c r="F1007" s="154"/>
      <c r="G1007" s="707"/>
      <c r="H1007" s="707"/>
      <c r="I1007" s="707"/>
      <c r="J1007" s="707"/>
      <c r="K1007" s="707"/>
    </row>
    <row r="1008" spans="1:11" ht="35.25" hidden="1">
      <c r="A1008" s="1128" t="s">
        <v>1336</v>
      </c>
      <c r="B1008" s="1128"/>
      <c r="C1008" s="1128"/>
      <c r="D1008" s="1128"/>
      <c r="E1008" s="1128"/>
      <c r="F1008" s="1128"/>
      <c r="G1008" s="1128"/>
      <c r="H1008" s="1128"/>
      <c r="I1008" s="1128"/>
      <c r="J1008" s="1128"/>
      <c r="K1008" s="1128"/>
    </row>
    <row r="1009" spans="1:11" s="620" customFormat="1" ht="33" hidden="1">
      <c r="A1009" s="65"/>
      <c r="B1009" s="65"/>
      <c r="C1009" s="65"/>
      <c r="D1009" s="65"/>
      <c r="E1009" s="65"/>
      <c r="F1009" s="65"/>
      <c r="G1009" s="68"/>
      <c r="H1009" s="68"/>
      <c r="I1009" s="68"/>
      <c r="J1009" s="68"/>
      <c r="K1009" s="68"/>
    </row>
    <row r="1010" spans="1:11" ht="20.100000000000001" hidden="1" customHeight="1">
      <c r="A1010" s="65"/>
      <c r="B1010" s="65"/>
      <c r="C1010" s="65"/>
      <c r="D1010" s="65"/>
      <c r="E1010" s="65"/>
      <c r="F1010" s="65"/>
      <c r="G1010" s="68"/>
      <c r="H1010" s="68"/>
      <c r="I1010" s="68"/>
      <c r="J1010" s="68"/>
      <c r="K1010" s="68"/>
    </row>
    <row r="1011" spans="1:11" ht="20.100000000000001" hidden="1" customHeight="1">
      <c r="A1011" s="979"/>
      <c r="B1011" s="979"/>
      <c r="C1011" s="979"/>
      <c r="D1011" s="979"/>
      <c r="E1011" s="979"/>
      <c r="F1011" s="979"/>
      <c r="G1011" s="979"/>
      <c r="H1011" s="979"/>
      <c r="I1011" s="979"/>
      <c r="J1011" s="979"/>
      <c r="K1011" s="979"/>
    </row>
    <row r="1012" spans="1:11" ht="45.75" hidden="1" customHeight="1">
      <c r="A1012" s="1030" t="s">
        <v>1383</v>
      </c>
      <c r="B1012" s="1030"/>
      <c r="C1012" s="1030"/>
      <c r="D1012" s="1030"/>
      <c r="E1012" s="1030"/>
      <c r="F1012" s="1030"/>
      <c r="G1012" s="1030"/>
      <c r="H1012" s="1030"/>
      <c r="I1012" s="1030"/>
      <c r="J1012" s="1030"/>
      <c r="K1012" s="1030"/>
    </row>
    <row r="1013" spans="1:11" ht="66" hidden="1" customHeight="1">
      <c r="A1013" s="1031" t="s">
        <v>37</v>
      </c>
      <c r="B1013" s="1033"/>
      <c r="C1013" s="1037" t="s">
        <v>178</v>
      </c>
      <c r="D1013" s="1037" t="s">
        <v>179</v>
      </c>
      <c r="E1013" s="1037" t="s">
        <v>1521</v>
      </c>
      <c r="F1013" s="1037" t="s">
        <v>14</v>
      </c>
      <c r="G1013" s="1037" t="s">
        <v>1515</v>
      </c>
      <c r="H1013" s="1037" t="s">
        <v>16</v>
      </c>
      <c r="I1013" s="1039" t="s">
        <v>1490</v>
      </c>
      <c r="J1013" s="1039" t="s">
        <v>2203</v>
      </c>
      <c r="K1013" s="1037" t="s">
        <v>200</v>
      </c>
    </row>
    <row r="1014" spans="1:11" s="500" customFormat="1" ht="30" hidden="1">
      <c r="A1014" s="1034"/>
      <c r="B1014" s="1036"/>
      <c r="C1014" s="1038"/>
      <c r="D1014" s="1038"/>
      <c r="E1014" s="1038"/>
      <c r="F1014" s="1038"/>
      <c r="G1014" s="1038"/>
      <c r="H1014" s="1038"/>
      <c r="I1014" s="1039"/>
      <c r="J1014" s="1039"/>
      <c r="K1014" s="1038"/>
    </row>
    <row r="1015" spans="1:11" s="500" customFormat="1" ht="74.25" hidden="1" customHeight="1">
      <c r="A1015" s="1102" t="s">
        <v>2070</v>
      </c>
      <c r="B1015" s="1103"/>
      <c r="C1015" s="729"/>
      <c r="D1015" s="729"/>
      <c r="E1015" s="726"/>
      <c r="F1015" s="727"/>
      <c r="G1015" s="728"/>
      <c r="H1015" s="728"/>
      <c r="I1015" s="642">
        <f>I1018+I1022+I1016</f>
        <v>186247.8</v>
      </c>
      <c r="J1015" s="642">
        <f>J1018+J1022+J1016</f>
        <v>124165.20000000001</v>
      </c>
      <c r="K1015" s="642">
        <f>I1015+J1015</f>
        <v>310413</v>
      </c>
    </row>
    <row r="1016" spans="1:11" s="579" customFormat="1" ht="73.5" hidden="1" customHeight="1">
      <c r="A1016" s="1011" t="s">
        <v>2251</v>
      </c>
      <c r="B1016" s="1012"/>
      <c r="C1016" s="1012"/>
      <c r="D1016" s="1012"/>
      <c r="E1016" s="1012"/>
      <c r="F1016" s="1013"/>
      <c r="G1016" s="709"/>
      <c r="H1016" s="710"/>
      <c r="I1016" s="545">
        <f>SUM(I1017:I1017)</f>
        <v>3600</v>
      </c>
      <c r="J1016" s="545">
        <f>SUM(J1017:J1017)</f>
        <v>2400</v>
      </c>
      <c r="K1016" s="545">
        <f>I1016+J1016</f>
        <v>6000</v>
      </c>
    </row>
    <row r="1017" spans="1:11" s="510" customFormat="1" ht="74.25" hidden="1" customHeight="1">
      <c r="A1017" s="1020" t="s">
        <v>2071</v>
      </c>
      <c r="B1017" s="1022"/>
      <c r="C1017" s="714" t="s">
        <v>1544</v>
      </c>
      <c r="D1017" s="714"/>
      <c r="E1017" s="714" t="s">
        <v>1544</v>
      </c>
      <c r="F1017" s="829" t="s">
        <v>2267</v>
      </c>
      <c r="G1017" s="827">
        <v>8100</v>
      </c>
      <c r="H1017" s="828" t="s">
        <v>2273</v>
      </c>
      <c r="I1017" s="717">
        <f>K1017/100*60</f>
        <v>3600</v>
      </c>
      <c r="J1017" s="717">
        <f>K1017/100*40</f>
        <v>2400</v>
      </c>
      <c r="K1017" s="717">
        <v>6000</v>
      </c>
    </row>
    <row r="1018" spans="1:11" ht="75" hidden="1" customHeight="1">
      <c r="A1018" s="1011" t="s">
        <v>1541</v>
      </c>
      <c r="B1018" s="1013"/>
      <c r="C1018" s="709"/>
      <c r="D1018" s="709"/>
      <c r="E1018" s="709"/>
      <c r="F1018" s="708"/>
      <c r="G1018" s="709"/>
      <c r="H1018" s="710"/>
      <c r="I1018" s="545">
        <f>SUM(I1019:I1021)</f>
        <v>177415.8</v>
      </c>
      <c r="J1018" s="545">
        <f>SUM(J1019:J1021)</f>
        <v>118277.20000000001</v>
      </c>
      <c r="K1018" s="545">
        <f>I1018+J1018</f>
        <v>295693</v>
      </c>
    </row>
    <row r="1019" spans="1:11" s="510" customFormat="1" ht="75" hidden="1" customHeight="1">
      <c r="A1019" s="1020" t="s">
        <v>2068</v>
      </c>
      <c r="B1019" s="1022"/>
      <c r="C1019" s="714" t="s">
        <v>1544</v>
      </c>
      <c r="D1019" s="714"/>
      <c r="E1019" s="714" t="s">
        <v>1544</v>
      </c>
      <c r="F1019" s="829" t="s">
        <v>2229</v>
      </c>
      <c r="G1019" s="1047">
        <v>8100</v>
      </c>
      <c r="H1019" s="1099" t="s">
        <v>2273</v>
      </c>
      <c r="I1019" s="717">
        <f>K1019/100*60</f>
        <v>53400</v>
      </c>
      <c r="J1019" s="717">
        <f>K1019/100*40</f>
        <v>35600</v>
      </c>
      <c r="K1019" s="717">
        <v>89000</v>
      </c>
    </row>
    <row r="1020" spans="1:11" s="510" customFormat="1" ht="74.25" hidden="1" customHeight="1">
      <c r="A1020" s="1020" t="s">
        <v>1546</v>
      </c>
      <c r="B1020" s="1022"/>
      <c r="C1020" s="714" t="s">
        <v>1544</v>
      </c>
      <c r="D1020" s="714"/>
      <c r="E1020" s="714" t="s">
        <v>1544</v>
      </c>
      <c r="F1020" s="829" t="s">
        <v>2230</v>
      </c>
      <c r="G1020" s="1048"/>
      <c r="H1020" s="1100"/>
      <c r="I1020" s="717">
        <f>K1020/100*60</f>
        <v>27600</v>
      </c>
      <c r="J1020" s="717">
        <f>K1020/100*40</f>
        <v>18400</v>
      </c>
      <c r="K1020" s="717">
        <v>46000</v>
      </c>
    </row>
    <row r="1021" spans="1:11" s="510" customFormat="1" ht="75" hidden="1" customHeight="1">
      <c r="A1021" s="1020" t="s">
        <v>2069</v>
      </c>
      <c r="B1021" s="1022"/>
      <c r="C1021" s="714" t="s">
        <v>1544</v>
      </c>
      <c r="D1021" s="714"/>
      <c r="E1021" s="714" t="s">
        <v>1544</v>
      </c>
      <c r="F1021" s="829" t="s">
        <v>2231</v>
      </c>
      <c r="G1021" s="1048"/>
      <c r="H1021" s="1100"/>
      <c r="I1021" s="717">
        <f>K1021/100*60</f>
        <v>96415.8</v>
      </c>
      <c r="J1021" s="717">
        <f>K1021/100*40</f>
        <v>64277.200000000004</v>
      </c>
      <c r="K1021" s="717">
        <v>160693</v>
      </c>
    </row>
    <row r="1022" spans="1:11" ht="73.5" hidden="1" customHeight="1">
      <c r="A1022" s="1011" t="s">
        <v>312</v>
      </c>
      <c r="B1022" s="1013"/>
      <c r="C1022" s="709"/>
      <c r="D1022" s="709"/>
      <c r="E1022" s="709"/>
      <c r="F1022" s="708"/>
      <c r="G1022" s="709"/>
      <c r="H1022" s="710"/>
      <c r="I1022" s="545">
        <f>SUM(I1023:I1023)</f>
        <v>5232</v>
      </c>
      <c r="J1022" s="545">
        <f>SUM(J1023:J1023)</f>
        <v>3488</v>
      </c>
      <c r="K1022" s="545">
        <f>I1022+J1022</f>
        <v>8720</v>
      </c>
    </row>
    <row r="1023" spans="1:11" s="510" customFormat="1" ht="74.25" hidden="1" customHeight="1">
      <c r="A1023" s="1020" t="s">
        <v>2072</v>
      </c>
      <c r="B1023" s="1022"/>
      <c r="C1023" s="714" t="s">
        <v>1544</v>
      </c>
      <c r="D1023" s="714"/>
      <c r="E1023" s="714" t="s">
        <v>1544</v>
      </c>
      <c r="F1023" s="833" t="s">
        <v>2224</v>
      </c>
      <c r="G1023" s="827">
        <v>8100</v>
      </c>
      <c r="H1023" s="828" t="s">
        <v>2273</v>
      </c>
      <c r="I1023" s="717">
        <f>K1023/100*60</f>
        <v>5232</v>
      </c>
      <c r="J1023" s="717">
        <f>K1023/100*40</f>
        <v>3488</v>
      </c>
      <c r="K1023" s="717">
        <v>8720</v>
      </c>
    </row>
    <row r="1024" spans="1:11" ht="100.5" hidden="1" customHeight="1">
      <c r="A1024" s="1021"/>
      <c r="B1024" s="1021"/>
      <c r="C1024" s="1021"/>
      <c r="D1024" s="1021"/>
      <c r="E1024" s="1021"/>
      <c r="F1024" s="1021"/>
      <c r="G1024" s="1021"/>
      <c r="H1024" s="1021"/>
      <c r="I1024" s="1021"/>
      <c r="J1024" s="1021"/>
      <c r="K1024" s="1021"/>
    </row>
    <row r="1025" spans="1:11" s="743" customFormat="1" ht="36.75" hidden="1" customHeight="1">
      <c r="A1025" s="1135"/>
      <c r="B1025" s="1136"/>
      <c r="C1025" s="738"/>
      <c r="D1025" s="738"/>
      <c r="E1025" s="739"/>
      <c r="F1025" s="740"/>
      <c r="G1025" s="741"/>
      <c r="H1025" s="741"/>
      <c r="I1025" s="742"/>
      <c r="J1025" s="742"/>
      <c r="K1025" s="742"/>
    </row>
    <row r="1026" spans="1:11" ht="66" hidden="1" customHeight="1">
      <c r="A1026" s="1031" t="s">
        <v>37</v>
      </c>
      <c r="B1026" s="1033"/>
      <c r="C1026" s="1037" t="s">
        <v>178</v>
      </c>
      <c r="D1026" s="1037" t="s">
        <v>179</v>
      </c>
      <c r="E1026" s="1037" t="s">
        <v>1521</v>
      </c>
      <c r="F1026" s="1037" t="s">
        <v>14</v>
      </c>
      <c r="G1026" s="1037" t="s">
        <v>1515</v>
      </c>
      <c r="H1026" s="1037" t="s">
        <v>16</v>
      </c>
      <c r="I1026" s="1039" t="s">
        <v>1490</v>
      </c>
      <c r="J1026" s="1039" t="s">
        <v>2203</v>
      </c>
      <c r="K1026" s="1037" t="s">
        <v>200</v>
      </c>
    </row>
    <row r="1027" spans="1:11" s="500" customFormat="1" ht="30" hidden="1">
      <c r="A1027" s="1034"/>
      <c r="B1027" s="1036"/>
      <c r="C1027" s="1038"/>
      <c r="D1027" s="1038"/>
      <c r="E1027" s="1038"/>
      <c r="F1027" s="1038"/>
      <c r="G1027" s="1038"/>
      <c r="H1027" s="1038"/>
      <c r="I1027" s="1039"/>
      <c r="J1027" s="1039"/>
      <c r="K1027" s="1038"/>
    </row>
    <row r="1028" spans="1:11" s="500" customFormat="1" ht="74.25" hidden="1" customHeight="1">
      <c r="A1028" s="1102" t="s">
        <v>2137</v>
      </c>
      <c r="B1028" s="1103"/>
      <c r="C1028" s="729"/>
      <c r="D1028" s="729"/>
      <c r="E1028" s="726"/>
      <c r="F1028" s="727"/>
      <c r="G1028" s="728"/>
      <c r="H1028" s="728"/>
      <c r="I1028" s="642">
        <f>I1031+I1043+I1029+I1041</f>
        <v>284751.00000000006</v>
      </c>
      <c r="J1028" s="642">
        <f>J1031+J1043+J1029+J1041</f>
        <v>189834</v>
      </c>
      <c r="K1028" s="642">
        <f>I1028+J1028</f>
        <v>474585.00000000006</v>
      </c>
    </row>
    <row r="1029" spans="1:11" s="579" customFormat="1" ht="73.5" hidden="1" customHeight="1">
      <c r="A1029" s="1011" t="s">
        <v>2251</v>
      </c>
      <c r="B1029" s="1012"/>
      <c r="C1029" s="1012"/>
      <c r="D1029" s="1012"/>
      <c r="E1029" s="1012"/>
      <c r="F1029" s="1013"/>
      <c r="G1029" s="709"/>
      <c r="H1029" s="710"/>
      <c r="I1029" s="545">
        <f>SUM(I1030:I1030)</f>
        <v>50820</v>
      </c>
      <c r="J1029" s="545">
        <f>SUM(J1030:J1030)</f>
        <v>33880</v>
      </c>
      <c r="K1029" s="545">
        <f>I1029+J1029</f>
        <v>84700</v>
      </c>
    </row>
    <row r="1030" spans="1:11" s="510" customFormat="1" ht="74.25" hidden="1" customHeight="1">
      <c r="A1030" s="1020" t="s">
        <v>2138</v>
      </c>
      <c r="B1030" s="1022"/>
      <c r="C1030" s="714" t="s">
        <v>147</v>
      </c>
      <c r="D1030" s="714">
        <v>193</v>
      </c>
      <c r="E1030" s="714" t="s">
        <v>2148</v>
      </c>
      <c r="F1030" s="829" t="s">
        <v>2268</v>
      </c>
      <c r="G1030" s="827">
        <v>8100</v>
      </c>
      <c r="H1030" s="828" t="s">
        <v>2273</v>
      </c>
      <c r="I1030" s="717">
        <f>K1030/100*60</f>
        <v>50820</v>
      </c>
      <c r="J1030" s="717">
        <f>K1030/100*40</f>
        <v>33880</v>
      </c>
      <c r="K1030" s="717">
        <v>84700</v>
      </c>
    </row>
    <row r="1031" spans="1:11" ht="75" hidden="1" customHeight="1">
      <c r="A1031" s="1011" t="s">
        <v>1541</v>
      </c>
      <c r="B1031" s="1013"/>
      <c r="C1031" s="709"/>
      <c r="D1031" s="709"/>
      <c r="E1031" s="709"/>
      <c r="F1031" s="708"/>
      <c r="G1031" s="709"/>
      <c r="H1031" s="710"/>
      <c r="I1031" s="545">
        <f>SUM(I1032:I1040)</f>
        <v>196490.22000000003</v>
      </c>
      <c r="J1031" s="545">
        <f>SUM(J1032:J1040)</f>
        <v>130993.48000000001</v>
      </c>
      <c r="K1031" s="545">
        <f>I1031+J1031</f>
        <v>327483.70000000007</v>
      </c>
    </row>
    <row r="1032" spans="1:11" s="510" customFormat="1" ht="74.25" hidden="1" customHeight="1">
      <c r="A1032" s="1020" t="s">
        <v>2139</v>
      </c>
      <c r="B1032" s="1022"/>
      <c r="C1032" s="714" t="s">
        <v>1827</v>
      </c>
      <c r="D1032" s="714">
        <v>25</v>
      </c>
      <c r="E1032" s="714" t="s">
        <v>2149</v>
      </c>
      <c r="F1032" s="1044" t="s">
        <v>2229</v>
      </c>
      <c r="G1032" s="1047">
        <v>8100</v>
      </c>
      <c r="H1032" s="1099" t="s">
        <v>2273</v>
      </c>
      <c r="I1032" s="717">
        <f t="shared" ref="I1032:I1040" si="37">K1032/100*60</f>
        <v>10272</v>
      </c>
      <c r="J1032" s="717">
        <f t="shared" ref="J1032:J1040" si="38">K1032/100*40</f>
        <v>6848</v>
      </c>
      <c r="K1032" s="717">
        <v>17120</v>
      </c>
    </row>
    <row r="1033" spans="1:11" s="510" customFormat="1" ht="75" hidden="1" customHeight="1">
      <c r="A1033" s="1020" t="s">
        <v>2140</v>
      </c>
      <c r="B1033" s="1022"/>
      <c r="C1033" s="714" t="s">
        <v>2144</v>
      </c>
      <c r="D1033" s="714">
        <v>5</v>
      </c>
      <c r="E1033" s="714" t="s">
        <v>2150</v>
      </c>
      <c r="F1033" s="1045"/>
      <c r="G1033" s="1048"/>
      <c r="H1033" s="1100"/>
      <c r="I1033" s="717">
        <f t="shared" si="37"/>
        <v>6993.6</v>
      </c>
      <c r="J1033" s="717">
        <f t="shared" si="38"/>
        <v>4662.3999999999996</v>
      </c>
      <c r="K1033" s="717">
        <v>11656</v>
      </c>
    </row>
    <row r="1034" spans="1:11" s="510" customFormat="1" ht="75" hidden="1" customHeight="1">
      <c r="A1034" s="1020" t="s">
        <v>506</v>
      </c>
      <c r="B1034" s="1022"/>
      <c r="C1034" s="714" t="s">
        <v>2145</v>
      </c>
      <c r="D1034" s="714">
        <v>5</v>
      </c>
      <c r="E1034" s="714" t="s">
        <v>2151</v>
      </c>
      <c r="F1034" s="1045"/>
      <c r="G1034" s="1048"/>
      <c r="H1034" s="1100"/>
      <c r="I1034" s="717">
        <f t="shared" si="37"/>
        <v>13846.62</v>
      </c>
      <c r="J1034" s="717">
        <f t="shared" si="38"/>
        <v>9231.08</v>
      </c>
      <c r="K1034" s="717">
        <v>23077.7</v>
      </c>
    </row>
    <row r="1035" spans="1:11" s="510" customFormat="1" ht="75" hidden="1" customHeight="1">
      <c r="A1035" s="1020" t="s">
        <v>2007</v>
      </c>
      <c r="B1035" s="1022"/>
      <c r="C1035" s="714" t="s">
        <v>2039</v>
      </c>
      <c r="D1035" s="714">
        <v>10</v>
      </c>
      <c r="E1035" s="714" t="s">
        <v>2152</v>
      </c>
      <c r="F1035" s="1046"/>
      <c r="G1035" s="1048"/>
      <c r="H1035" s="1100"/>
      <c r="I1035" s="717">
        <f t="shared" si="37"/>
        <v>24000</v>
      </c>
      <c r="J1035" s="717">
        <f t="shared" si="38"/>
        <v>16000</v>
      </c>
      <c r="K1035" s="717">
        <v>40000</v>
      </c>
    </row>
    <row r="1036" spans="1:11" s="510" customFormat="1" ht="75" hidden="1" customHeight="1">
      <c r="A1036" s="1020" t="s">
        <v>2141</v>
      </c>
      <c r="B1036" s="1022"/>
      <c r="C1036" s="714" t="s">
        <v>1677</v>
      </c>
      <c r="D1036" s="744">
        <v>10000</v>
      </c>
      <c r="E1036" s="714" t="s">
        <v>2153</v>
      </c>
      <c r="F1036" s="1045" t="s">
        <v>2230</v>
      </c>
      <c r="G1036" s="1048"/>
      <c r="H1036" s="1100"/>
      <c r="I1036" s="717">
        <f t="shared" si="37"/>
        <v>34271.4</v>
      </c>
      <c r="J1036" s="717">
        <f t="shared" si="38"/>
        <v>22847.600000000002</v>
      </c>
      <c r="K1036" s="717">
        <v>57119</v>
      </c>
    </row>
    <row r="1037" spans="1:11" s="510" customFormat="1" ht="75" hidden="1" customHeight="1">
      <c r="A1037" s="1020" t="s">
        <v>2142</v>
      </c>
      <c r="B1037" s="1022"/>
      <c r="C1037" s="714" t="s">
        <v>2146</v>
      </c>
      <c r="D1037" s="714">
        <v>8</v>
      </c>
      <c r="E1037" s="714" t="s">
        <v>2153</v>
      </c>
      <c r="F1037" s="1046"/>
      <c r="G1037" s="1048"/>
      <c r="H1037" s="1100"/>
      <c r="I1037" s="717">
        <f t="shared" si="37"/>
        <v>62543.400000000009</v>
      </c>
      <c r="J1037" s="717">
        <f t="shared" si="38"/>
        <v>41695.600000000006</v>
      </c>
      <c r="K1037" s="717">
        <v>104239</v>
      </c>
    </row>
    <row r="1038" spans="1:11" s="510" customFormat="1" ht="75" hidden="1" customHeight="1">
      <c r="A1038" s="1020" t="s">
        <v>2143</v>
      </c>
      <c r="B1038" s="1022"/>
      <c r="C1038" s="714" t="s">
        <v>2147</v>
      </c>
      <c r="D1038" s="714">
        <v>4</v>
      </c>
      <c r="E1038" s="714" t="s">
        <v>2153</v>
      </c>
      <c r="F1038" s="1044" t="s">
        <v>2231</v>
      </c>
      <c r="G1038" s="1048"/>
      <c r="H1038" s="1100"/>
      <c r="I1038" s="717">
        <f t="shared" si="37"/>
        <v>12000</v>
      </c>
      <c r="J1038" s="717">
        <f t="shared" si="38"/>
        <v>8000</v>
      </c>
      <c r="K1038" s="717">
        <v>20000</v>
      </c>
    </row>
    <row r="1039" spans="1:11" s="510" customFormat="1" ht="75" hidden="1" customHeight="1">
      <c r="A1039" s="1020" t="s">
        <v>1808</v>
      </c>
      <c r="B1039" s="1022"/>
      <c r="C1039" s="714" t="s">
        <v>2147</v>
      </c>
      <c r="D1039" s="714">
        <v>4</v>
      </c>
      <c r="E1039" s="714" t="s">
        <v>2153</v>
      </c>
      <c r="F1039" s="1045"/>
      <c r="G1039" s="1048"/>
      <c r="H1039" s="1100"/>
      <c r="I1039" s="717">
        <f t="shared" si="37"/>
        <v>6000</v>
      </c>
      <c r="J1039" s="717">
        <f t="shared" si="38"/>
        <v>4000</v>
      </c>
      <c r="K1039" s="717">
        <v>10000</v>
      </c>
    </row>
    <row r="1040" spans="1:11" s="510" customFormat="1" ht="75" hidden="1" customHeight="1">
      <c r="A1040" s="1020" t="s">
        <v>1809</v>
      </c>
      <c r="B1040" s="1022"/>
      <c r="C1040" s="714" t="s">
        <v>2147</v>
      </c>
      <c r="D1040" s="714">
        <v>6</v>
      </c>
      <c r="E1040" s="714" t="s">
        <v>2153</v>
      </c>
      <c r="F1040" s="1046"/>
      <c r="G1040" s="1049"/>
      <c r="H1040" s="1101"/>
      <c r="I1040" s="717">
        <f t="shared" si="37"/>
        <v>26563.200000000001</v>
      </c>
      <c r="J1040" s="717">
        <f t="shared" si="38"/>
        <v>17708.800000000003</v>
      </c>
      <c r="K1040" s="717">
        <v>44272</v>
      </c>
    </row>
    <row r="1041" spans="1:11" ht="74.25" hidden="1" customHeight="1">
      <c r="A1041" s="1011" t="s">
        <v>278</v>
      </c>
      <c r="B1041" s="1013"/>
      <c r="C1041" s="504"/>
      <c r="D1041" s="709"/>
      <c r="E1041" s="709"/>
      <c r="F1041" s="708"/>
      <c r="G1041" s="709"/>
      <c r="H1041" s="710"/>
      <c r="I1041" s="545">
        <f>SUM(I1042)</f>
        <v>31986.780000000002</v>
      </c>
      <c r="J1041" s="545">
        <f>SUM(J1042)</f>
        <v>21324.520000000004</v>
      </c>
      <c r="K1041" s="545">
        <f>I1041+J1041</f>
        <v>53311.3</v>
      </c>
    </row>
    <row r="1042" spans="1:11" s="510" customFormat="1" ht="74.25" hidden="1" customHeight="1">
      <c r="A1042" s="1020" t="s">
        <v>2004</v>
      </c>
      <c r="B1042" s="1022"/>
      <c r="C1042" s="714" t="s">
        <v>1215</v>
      </c>
      <c r="D1042" s="714">
        <v>50</v>
      </c>
      <c r="E1042" s="725" t="s">
        <v>2154</v>
      </c>
      <c r="F1042" s="833" t="s">
        <v>2234</v>
      </c>
      <c r="G1042" s="835">
        <v>8100</v>
      </c>
      <c r="H1042" s="834" t="s">
        <v>2445</v>
      </c>
      <c r="I1042" s="717">
        <f>K1042/100*60</f>
        <v>31986.780000000002</v>
      </c>
      <c r="J1042" s="717">
        <f>K1042/100*40</f>
        <v>21324.520000000004</v>
      </c>
      <c r="K1042" s="717">
        <v>53311.3</v>
      </c>
    </row>
    <row r="1043" spans="1:11" ht="73.5" hidden="1" customHeight="1">
      <c r="A1043" s="1011" t="s">
        <v>312</v>
      </c>
      <c r="B1043" s="1013"/>
      <c r="C1043" s="709"/>
      <c r="D1043" s="709"/>
      <c r="E1043" s="709"/>
      <c r="F1043" s="708"/>
      <c r="G1043" s="709"/>
      <c r="H1043" s="710"/>
      <c r="I1043" s="545">
        <f>SUM(I1044:I1044)</f>
        <v>5454</v>
      </c>
      <c r="J1043" s="545">
        <f>SUM(J1044:J1044)</f>
        <v>3636</v>
      </c>
      <c r="K1043" s="545">
        <f>I1043+J1043</f>
        <v>9090</v>
      </c>
    </row>
    <row r="1044" spans="1:11" s="510" customFormat="1" ht="74.25" hidden="1" customHeight="1">
      <c r="A1044" s="1020" t="s">
        <v>1799</v>
      </c>
      <c r="B1044" s="1022"/>
      <c r="C1044" s="714" t="s">
        <v>1677</v>
      </c>
      <c r="D1044" s="714">
        <v>30</v>
      </c>
      <c r="E1044" s="714" t="s">
        <v>2155</v>
      </c>
      <c r="F1044" s="833" t="s">
        <v>2224</v>
      </c>
      <c r="G1044" s="835">
        <v>8100</v>
      </c>
      <c r="H1044" s="834" t="s">
        <v>2273</v>
      </c>
      <c r="I1044" s="717">
        <f>K1044/100*60</f>
        <v>5454</v>
      </c>
      <c r="J1044" s="717">
        <f>K1044/100*40</f>
        <v>3636</v>
      </c>
      <c r="K1044" s="717">
        <v>9090</v>
      </c>
    </row>
    <row r="1045" spans="1:11" s="510" customFormat="1" ht="74.25" hidden="1" customHeight="1">
      <c r="A1045" s="753"/>
      <c r="B1045" s="753"/>
      <c r="C1045" s="754"/>
      <c r="D1045" s="754"/>
      <c r="E1045" s="754"/>
      <c r="F1045" s="755"/>
      <c r="G1045" s="758"/>
      <c r="H1045" s="756"/>
      <c r="I1045" s="757"/>
      <c r="J1045" s="757"/>
      <c r="K1045" s="757"/>
    </row>
    <row r="1046" spans="1:11" s="510" customFormat="1" ht="74.25" hidden="1" customHeight="1">
      <c r="A1046" s="753"/>
      <c r="B1046" s="753"/>
      <c r="C1046" s="754"/>
      <c r="D1046" s="754"/>
      <c r="E1046" s="754"/>
      <c r="F1046" s="755"/>
      <c r="G1046" s="758"/>
      <c r="H1046" s="756"/>
      <c r="I1046" s="757"/>
      <c r="J1046" s="757"/>
      <c r="K1046" s="757"/>
    </row>
    <row r="1047" spans="1:11" ht="34.5" hidden="1" customHeight="1">
      <c r="A1047" s="1128" t="s">
        <v>51</v>
      </c>
      <c r="B1047" s="1128"/>
      <c r="C1047" s="1128"/>
      <c r="D1047" s="1128"/>
      <c r="E1047" s="1128"/>
      <c r="F1047" s="1128"/>
      <c r="G1047" s="1128"/>
      <c r="H1047" s="1128"/>
      <c r="I1047" s="1128"/>
      <c r="J1047" s="1128"/>
      <c r="K1047" s="1128"/>
    </row>
    <row r="1048" spans="1:11" ht="30.75" hidden="1" customHeight="1">
      <c r="A1048" s="1128" t="s">
        <v>52</v>
      </c>
      <c r="B1048" s="1128"/>
      <c r="C1048" s="1128"/>
      <c r="D1048" s="1128"/>
      <c r="E1048" s="1128"/>
      <c r="F1048" s="1128"/>
      <c r="G1048" s="1128"/>
      <c r="H1048" s="1128"/>
      <c r="I1048" s="1128"/>
      <c r="J1048" s="1128"/>
      <c r="K1048" s="1128"/>
    </row>
    <row r="1049" spans="1:11" ht="33" hidden="1" customHeight="1">
      <c r="A1049" s="1132" t="s">
        <v>50</v>
      </c>
      <c r="B1049" s="1132"/>
      <c r="C1049" s="1132"/>
      <c r="D1049" s="1132"/>
      <c r="E1049" s="1132"/>
      <c r="F1049" s="1132"/>
      <c r="G1049" s="1132"/>
      <c r="H1049" s="1132"/>
      <c r="I1049" s="1132"/>
      <c r="J1049" s="1132"/>
      <c r="K1049" s="1132"/>
    </row>
    <row r="1050" spans="1:11" ht="33" hidden="1" customHeight="1">
      <c r="A1050" s="154"/>
      <c r="B1050" s="154"/>
      <c r="C1050" s="154"/>
      <c r="D1050" s="154"/>
      <c r="E1050" s="154"/>
      <c r="F1050" s="154"/>
      <c r="G1050" s="707"/>
      <c r="H1050" s="707"/>
      <c r="I1050" s="707"/>
      <c r="J1050" s="707"/>
      <c r="K1050" s="707"/>
    </row>
    <row r="1051" spans="1:11" ht="35.25" hidden="1">
      <c r="A1051" s="1128" t="s">
        <v>1336</v>
      </c>
      <c r="B1051" s="1128"/>
      <c r="C1051" s="1128"/>
      <c r="D1051" s="1128"/>
      <c r="E1051" s="1128"/>
      <c r="F1051" s="1128"/>
      <c r="G1051" s="1128"/>
      <c r="H1051" s="1128"/>
      <c r="I1051" s="1128"/>
      <c r="J1051" s="1128"/>
      <c r="K1051" s="1128"/>
    </row>
    <row r="1052" spans="1:11" s="620" customFormat="1" ht="33" hidden="1">
      <c r="A1052" s="65"/>
      <c r="B1052" s="65"/>
      <c r="C1052" s="65"/>
      <c r="D1052" s="65"/>
      <c r="E1052" s="65"/>
      <c r="F1052" s="65"/>
      <c r="G1052" s="68"/>
      <c r="H1052" s="68"/>
      <c r="I1052" s="68"/>
      <c r="J1052" s="68"/>
      <c r="K1052" s="68"/>
    </row>
    <row r="1053" spans="1:11" ht="20.100000000000001" hidden="1" customHeight="1">
      <c r="A1053" s="65"/>
      <c r="B1053" s="65"/>
      <c r="C1053" s="65"/>
      <c r="D1053" s="65"/>
      <c r="E1053" s="65"/>
      <c r="F1053" s="65"/>
      <c r="G1053" s="68"/>
      <c r="H1053" s="68"/>
      <c r="I1053" s="68"/>
      <c r="J1053" s="68"/>
      <c r="K1053" s="68"/>
    </row>
    <row r="1054" spans="1:11" ht="20.100000000000001" hidden="1" customHeight="1">
      <c r="A1054" s="979"/>
      <c r="B1054" s="979"/>
      <c r="C1054" s="979"/>
      <c r="D1054" s="979"/>
      <c r="E1054" s="979"/>
      <c r="F1054" s="979"/>
      <c r="G1054" s="979"/>
      <c r="H1054" s="979"/>
      <c r="I1054" s="979"/>
      <c r="J1054" s="979"/>
      <c r="K1054" s="979"/>
    </row>
    <row r="1055" spans="1:11" ht="45.75" hidden="1" customHeight="1">
      <c r="A1055" s="1030" t="s">
        <v>1383</v>
      </c>
      <c r="B1055" s="1030"/>
      <c r="C1055" s="1030"/>
      <c r="D1055" s="1030"/>
      <c r="E1055" s="1030"/>
      <c r="F1055" s="1030"/>
      <c r="G1055" s="1030"/>
      <c r="H1055" s="1030"/>
      <c r="I1055" s="1030"/>
      <c r="J1055" s="1030"/>
      <c r="K1055" s="1030"/>
    </row>
    <row r="1056" spans="1:11" ht="66" hidden="1" customHeight="1">
      <c r="A1056" s="1031" t="s">
        <v>37</v>
      </c>
      <c r="B1056" s="1033"/>
      <c r="C1056" s="1037" t="s">
        <v>178</v>
      </c>
      <c r="D1056" s="1037" t="s">
        <v>179</v>
      </c>
      <c r="E1056" s="1037" t="s">
        <v>1521</v>
      </c>
      <c r="F1056" s="1037" t="s">
        <v>14</v>
      </c>
      <c r="G1056" s="1037" t="s">
        <v>1515</v>
      </c>
      <c r="H1056" s="1037" t="s">
        <v>16</v>
      </c>
      <c r="I1056" s="1039" t="s">
        <v>1490</v>
      </c>
      <c r="J1056" s="1039" t="s">
        <v>2203</v>
      </c>
      <c r="K1056" s="1037" t="s">
        <v>200</v>
      </c>
    </row>
    <row r="1057" spans="1:11" s="500" customFormat="1" ht="30" hidden="1">
      <c r="A1057" s="1034"/>
      <c r="B1057" s="1036"/>
      <c r="C1057" s="1038"/>
      <c r="D1057" s="1038"/>
      <c r="E1057" s="1038"/>
      <c r="F1057" s="1038"/>
      <c r="G1057" s="1038"/>
      <c r="H1057" s="1038"/>
      <c r="I1057" s="1039"/>
      <c r="J1057" s="1039"/>
      <c r="K1057" s="1038"/>
    </row>
    <row r="1058" spans="1:11" s="500" customFormat="1" ht="74.25" hidden="1" customHeight="1">
      <c r="A1058" s="1102" t="s">
        <v>2174</v>
      </c>
      <c r="B1058" s="1103"/>
      <c r="C1058" s="729"/>
      <c r="D1058" s="729"/>
      <c r="E1058" s="726"/>
      <c r="F1058" s="727"/>
      <c r="G1058" s="728"/>
      <c r="H1058" s="728"/>
      <c r="I1058" s="642">
        <f>I1059+I1067+I1065</f>
        <v>65636.399999999994</v>
      </c>
      <c r="J1058" s="642">
        <f>J1059+J1067+J1065</f>
        <v>43757.599999999999</v>
      </c>
      <c r="K1058" s="642">
        <f>I1058+J1058</f>
        <v>109394</v>
      </c>
    </row>
    <row r="1059" spans="1:11" ht="75" hidden="1" customHeight="1">
      <c r="A1059" s="1011" t="s">
        <v>1541</v>
      </c>
      <c r="B1059" s="1013"/>
      <c r="C1059" s="709"/>
      <c r="D1059" s="709"/>
      <c r="E1059" s="709"/>
      <c r="F1059" s="708"/>
      <c r="G1059" s="709"/>
      <c r="H1059" s="710"/>
      <c r="I1059" s="545">
        <f>SUM(I1060:I1064)</f>
        <v>56276.4</v>
      </c>
      <c r="J1059" s="545">
        <f>SUM(J1060:J1064)</f>
        <v>37517.599999999999</v>
      </c>
      <c r="K1059" s="545">
        <f>I1059+J1059</f>
        <v>93794</v>
      </c>
    </row>
    <row r="1060" spans="1:11" s="510" customFormat="1" ht="75" hidden="1" customHeight="1">
      <c r="A1060" s="1020" t="s">
        <v>2186</v>
      </c>
      <c r="B1060" s="1022"/>
      <c r="C1060" s="714" t="s">
        <v>2175</v>
      </c>
      <c r="D1060" s="714">
        <v>7</v>
      </c>
      <c r="E1060" s="714" t="s">
        <v>2175</v>
      </c>
      <c r="F1060" s="829" t="s">
        <v>2229</v>
      </c>
      <c r="G1060" s="1047">
        <v>8100</v>
      </c>
      <c r="H1060" s="1099" t="s">
        <v>2273</v>
      </c>
      <c r="I1060" s="717">
        <f>K1060/100*60</f>
        <v>4200</v>
      </c>
      <c r="J1060" s="717">
        <f>K1060/100*40</f>
        <v>2800</v>
      </c>
      <c r="K1060" s="717">
        <v>7000</v>
      </c>
    </row>
    <row r="1061" spans="1:11" s="510" customFormat="1" ht="75" hidden="1" customHeight="1">
      <c r="A1061" s="1020" t="s">
        <v>2187</v>
      </c>
      <c r="B1061" s="1022"/>
      <c r="C1061" s="714" t="s">
        <v>1621</v>
      </c>
      <c r="D1061" s="714">
        <v>5</v>
      </c>
      <c r="E1061" s="714" t="s">
        <v>2176</v>
      </c>
      <c r="F1061" s="833" t="s">
        <v>2236</v>
      </c>
      <c r="G1061" s="1048"/>
      <c r="H1061" s="1100"/>
      <c r="I1061" s="717">
        <f>K1061/100*60</f>
        <v>17856</v>
      </c>
      <c r="J1061" s="717">
        <f>K1061/100*40</f>
        <v>11904</v>
      </c>
      <c r="K1061" s="717">
        <v>29760</v>
      </c>
    </row>
    <row r="1062" spans="1:11" s="510" customFormat="1" ht="74.25" hidden="1" customHeight="1">
      <c r="A1062" s="1020" t="s">
        <v>2188</v>
      </c>
      <c r="B1062" s="1022"/>
      <c r="C1062" s="714" t="s">
        <v>2177</v>
      </c>
      <c r="D1062" s="714">
        <v>3</v>
      </c>
      <c r="E1062" s="714" t="s">
        <v>2178</v>
      </c>
      <c r="F1062" s="829" t="s">
        <v>2230</v>
      </c>
      <c r="G1062" s="1048"/>
      <c r="H1062" s="1100"/>
      <c r="I1062" s="717">
        <f>K1062/100*60</f>
        <v>16142.400000000001</v>
      </c>
      <c r="J1062" s="717">
        <f>K1062/100*40</f>
        <v>10761.6</v>
      </c>
      <c r="K1062" s="717">
        <v>26904</v>
      </c>
    </row>
    <row r="1063" spans="1:11" s="510" customFormat="1" ht="75" hidden="1" customHeight="1">
      <c r="A1063" s="1020" t="s">
        <v>1840</v>
      </c>
      <c r="B1063" s="1022"/>
      <c r="C1063" s="714" t="s">
        <v>2179</v>
      </c>
      <c r="D1063" s="714">
        <v>10</v>
      </c>
      <c r="E1063" s="714" t="s">
        <v>2180</v>
      </c>
      <c r="F1063" s="1044" t="s">
        <v>2231</v>
      </c>
      <c r="G1063" s="1048"/>
      <c r="H1063" s="1100"/>
      <c r="I1063" s="717">
        <f>K1063/100*60</f>
        <v>9078</v>
      </c>
      <c r="J1063" s="717">
        <f>K1063/100*40</f>
        <v>6052</v>
      </c>
      <c r="K1063" s="717">
        <v>15130</v>
      </c>
    </row>
    <row r="1064" spans="1:11" s="510" customFormat="1" ht="75" hidden="1" customHeight="1">
      <c r="A1064" s="1020" t="s">
        <v>2189</v>
      </c>
      <c r="B1064" s="1022"/>
      <c r="C1064" s="714" t="s">
        <v>2181</v>
      </c>
      <c r="D1064" s="714">
        <v>45</v>
      </c>
      <c r="E1064" s="714" t="s">
        <v>2182</v>
      </c>
      <c r="F1064" s="1046"/>
      <c r="G1064" s="1048"/>
      <c r="H1064" s="1100"/>
      <c r="I1064" s="717">
        <f>K1064/100*60</f>
        <v>9000</v>
      </c>
      <c r="J1064" s="717">
        <f>K1064/100*40</f>
        <v>6000</v>
      </c>
      <c r="K1064" s="717">
        <v>15000</v>
      </c>
    </row>
    <row r="1065" spans="1:11" ht="74.25" hidden="1" customHeight="1">
      <c r="A1065" s="1011" t="s">
        <v>278</v>
      </c>
      <c r="B1065" s="1013"/>
      <c r="C1065" s="504"/>
      <c r="D1065" s="709"/>
      <c r="E1065" s="709"/>
      <c r="F1065" s="708"/>
      <c r="G1065" s="709"/>
      <c r="H1065" s="710"/>
      <c r="I1065" s="545">
        <f>SUM(I1066)</f>
        <v>3960</v>
      </c>
      <c r="J1065" s="545">
        <f>SUM(J1066)</f>
        <v>2640</v>
      </c>
      <c r="K1065" s="545">
        <f>I1065+J1065</f>
        <v>6600</v>
      </c>
    </row>
    <row r="1066" spans="1:11" s="510" customFormat="1" ht="74.25" hidden="1" customHeight="1">
      <c r="A1066" s="1020" t="s">
        <v>2004</v>
      </c>
      <c r="B1066" s="1022"/>
      <c r="C1066" s="714" t="s">
        <v>1215</v>
      </c>
      <c r="D1066" s="714">
        <v>5</v>
      </c>
      <c r="E1066" s="725" t="s">
        <v>2183</v>
      </c>
      <c r="F1066" s="833" t="s">
        <v>2234</v>
      </c>
      <c r="G1066" s="835">
        <v>8100</v>
      </c>
      <c r="H1066" s="834" t="s">
        <v>2445</v>
      </c>
      <c r="I1066" s="717">
        <f>K1066/100*60</f>
        <v>3960</v>
      </c>
      <c r="J1066" s="717">
        <f>K1066/100*40</f>
        <v>2640</v>
      </c>
      <c r="K1066" s="717">
        <v>6600</v>
      </c>
    </row>
    <row r="1067" spans="1:11" ht="73.5" hidden="1" customHeight="1">
      <c r="A1067" s="1011" t="s">
        <v>312</v>
      </c>
      <c r="B1067" s="1013"/>
      <c r="C1067" s="709"/>
      <c r="D1067" s="709"/>
      <c r="E1067" s="709"/>
      <c r="F1067" s="708"/>
      <c r="G1067" s="709"/>
      <c r="H1067" s="710"/>
      <c r="I1067" s="545">
        <f>SUM(I1068:I1068)</f>
        <v>5400</v>
      </c>
      <c r="J1067" s="545">
        <f>SUM(J1068:J1068)</f>
        <v>3600</v>
      </c>
      <c r="K1067" s="545">
        <f>I1067+J1067</f>
        <v>9000</v>
      </c>
    </row>
    <row r="1068" spans="1:11" s="510" customFormat="1" ht="74.25" hidden="1" customHeight="1">
      <c r="A1068" s="1020" t="s">
        <v>2190</v>
      </c>
      <c r="B1068" s="1022"/>
      <c r="C1068" s="714" t="s">
        <v>2184</v>
      </c>
      <c r="D1068" s="714">
        <v>2</v>
      </c>
      <c r="E1068" s="714" t="s">
        <v>2185</v>
      </c>
      <c r="F1068" s="833" t="s">
        <v>2224</v>
      </c>
      <c r="G1068" s="827">
        <v>8100</v>
      </c>
      <c r="H1068" s="828" t="s">
        <v>2273</v>
      </c>
      <c r="I1068" s="717">
        <f>K1068/100*60</f>
        <v>5400</v>
      </c>
      <c r="J1068" s="717">
        <f>K1068/100*40</f>
        <v>3600</v>
      </c>
      <c r="K1068" s="717">
        <v>9000</v>
      </c>
    </row>
    <row r="1069" spans="1:11" s="743" customFormat="1" ht="36.75" hidden="1" customHeight="1">
      <c r="A1069" s="1135"/>
      <c r="B1069" s="1136"/>
      <c r="C1069" s="738"/>
      <c r="D1069" s="738"/>
      <c r="E1069" s="739"/>
      <c r="F1069" s="740"/>
      <c r="G1069" s="741"/>
      <c r="H1069" s="741"/>
      <c r="I1069" s="742"/>
      <c r="J1069" s="742"/>
      <c r="K1069" s="742"/>
    </row>
    <row r="1070" spans="1:11" ht="66" hidden="1" customHeight="1">
      <c r="A1070" s="1031" t="s">
        <v>37</v>
      </c>
      <c r="B1070" s="1033"/>
      <c r="C1070" s="1037" t="s">
        <v>178</v>
      </c>
      <c r="D1070" s="1037" t="s">
        <v>179</v>
      </c>
      <c r="E1070" s="1037" t="s">
        <v>1521</v>
      </c>
      <c r="F1070" s="1037" t="s">
        <v>14</v>
      </c>
      <c r="G1070" s="1037" t="s">
        <v>1515</v>
      </c>
      <c r="H1070" s="1037" t="s">
        <v>16</v>
      </c>
      <c r="I1070" s="1039" t="s">
        <v>1490</v>
      </c>
      <c r="J1070" s="1039" t="s">
        <v>2203</v>
      </c>
      <c r="K1070" s="1037" t="s">
        <v>200</v>
      </c>
    </row>
    <row r="1071" spans="1:11" s="500" customFormat="1" ht="30" hidden="1">
      <c r="A1071" s="1034"/>
      <c r="B1071" s="1036"/>
      <c r="C1071" s="1038"/>
      <c r="D1071" s="1038"/>
      <c r="E1071" s="1038"/>
      <c r="F1071" s="1038"/>
      <c r="G1071" s="1038"/>
      <c r="H1071" s="1038"/>
      <c r="I1071" s="1039"/>
      <c r="J1071" s="1039"/>
      <c r="K1071" s="1038"/>
    </row>
    <row r="1072" spans="1:11" s="500" customFormat="1" ht="74.25" hidden="1" customHeight="1">
      <c r="A1072" s="1102" t="s">
        <v>2003</v>
      </c>
      <c r="B1072" s="1103"/>
      <c r="C1072" s="729"/>
      <c r="D1072" s="729"/>
      <c r="E1072" s="726"/>
      <c r="F1072" s="727"/>
      <c r="G1072" s="728"/>
      <c r="H1072" s="728"/>
      <c r="I1072" s="642">
        <f>I1076+I1085+I1073+I1083</f>
        <v>215945.4</v>
      </c>
      <c r="J1072" s="642">
        <f>J1076+J1085+J1073+J1083</f>
        <v>143963.6</v>
      </c>
      <c r="K1072" s="642">
        <f>I1072+J1072</f>
        <v>359909</v>
      </c>
    </row>
    <row r="1073" spans="1:11" s="579" customFormat="1" ht="73.5" hidden="1" customHeight="1">
      <c r="A1073" s="1011" t="s">
        <v>2251</v>
      </c>
      <c r="B1073" s="1012"/>
      <c r="C1073" s="1012"/>
      <c r="D1073" s="1012"/>
      <c r="E1073" s="1012"/>
      <c r="F1073" s="1013"/>
      <c r="G1073" s="709"/>
      <c r="H1073" s="710"/>
      <c r="I1073" s="545">
        <f>SUM(I1074:I1075)</f>
        <v>35784</v>
      </c>
      <c r="J1073" s="545">
        <f>SUM(J1074:J1075)</f>
        <v>23856</v>
      </c>
      <c r="K1073" s="545">
        <f>I1073+J1073</f>
        <v>59640</v>
      </c>
    </row>
    <row r="1074" spans="1:11" s="510" customFormat="1" ht="74.25" hidden="1" customHeight="1">
      <c r="A1074" s="1020" t="s">
        <v>2005</v>
      </c>
      <c r="B1074" s="1022"/>
      <c r="C1074" s="714" t="s">
        <v>147</v>
      </c>
      <c r="D1074" s="714">
        <v>160</v>
      </c>
      <c r="E1074" s="714" t="s">
        <v>2014</v>
      </c>
      <c r="F1074" s="829" t="s">
        <v>2269</v>
      </c>
      <c r="G1074" s="1047">
        <v>8100</v>
      </c>
      <c r="H1074" s="1099" t="s">
        <v>2273</v>
      </c>
      <c r="I1074" s="717">
        <f>K1074/100*60</f>
        <v>24378</v>
      </c>
      <c r="J1074" s="717">
        <f>K1074/100*40</f>
        <v>16252</v>
      </c>
      <c r="K1074" s="717">
        <v>40630</v>
      </c>
    </row>
    <row r="1075" spans="1:11" s="510" customFormat="1" ht="74.25" hidden="1" customHeight="1">
      <c r="A1075" s="1020" t="s">
        <v>2006</v>
      </c>
      <c r="B1075" s="1022"/>
      <c r="C1075" s="714" t="s">
        <v>147</v>
      </c>
      <c r="D1075" s="714">
        <v>40</v>
      </c>
      <c r="E1075" s="714" t="s">
        <v>2014</v>
      </c>
      <c r="F1075" s="829" t="s">
        <v>2270</v>
      </c>
      <c r="G1075" s="1048"/>
      <c r="H1075" s="1100"/>
      <c r="I1075" s="717">
        <f>K1075/100*60</f>
        <v>11406</v>
      </c>
      <c r="J1075" s="717">
        <f>K1075/100*40</f>
        <v>7604</v>
      </c>
      <c r="K1075" s="717">
        <v>19010</v>
      </c>
    </row>
    <row r="1076" spans="1:11" ht="75" hidden="1" customHeight="1">
      <c r="A1076" s="1011" t="s">
        <v>1541</v>
      </c>
      <c r="B1076" s="1013"/>
      <c r="C1076" s="709"/>
      <c r="D1076" s="709"/>
      <c r="E1076" s="709"/>
      <c r="F1076" s="708"/>
      <c r="G1076" s="709"/>
      <c r="H1076" s="710"/>
      <c r="I1076" s="545">
        <f>SUM(I1077:I1082)</f>
        <v>143924.4</v>
      </c>
      <c r="J1076" s="545">
        <f>SUM(J1077:J1082)</f>
        <v>95949.6</v>
      </c>
      <c r="K1076" s="545">
        <f>I1076+J1076</f>
        <v>239874</v>
      </c>
    </row>
    <row r="1077" spans="1:11" s="510" customFormat="1" ht="75" hidden="1" customHeight="1">
      <c r="A1077" s="1020" t="s">
        <v>2007</v>
      </c>
      <c r="B1077" s="1022"/>
      <c r="C1077" s="714" t="s">
        <v>2015</v>
      </c>
      <c r="D1077" s="714">
        <v>4</v>
      </c>
      <c r="E1077" s="714" t="s">
        <v>2022</v>
      </c>
      <c r="F1077" s="1044" t="s">
        <v>2229</v>
      </c>
      <c r="G1077" s="1047">
        <v>8100</v>
      </c>
      <c r="H1077" s="1099" t="s">
        <v>2273</v>
      </c>
      <c r="I1077" s="717">
        <f t="shared" ref="I1077:I1082" si="39">K1077/100*60</f>
        <v>12000</v>
      </c>
      <c r="J1077" s="717">
        <f t="shared" ref="J1077:J1082" si="40">K1077/100*40</f>
        <v>8000</v>
      </c>
      <c r="K1077" s="717">
        <v>20000</v>
      </c>
    </row>
    <row r="1078" spans="1:11" s="510" customFormat="1" ht="74.25" hidden="1" customHeight="1">
      <c r="A1078" s="1020" t="s">
        <v>2008</v>
      </c>
      <c r="B1078" s="1022"/>
      <c r="C1078" s="714" t="s">
        <v>2016</v>
      </c>
      <c r="D1078" s="714">
        <v>10</v>
      </c>
      <c r="E1078" s="714" t="s">
        <v>2023</v>
      </c>
      <c r="F1078" s="1045"/>
      <c r="G1078" s="1048"/>
      <c r="H1078" s="1100"/>
      <c r="I1078" s="717">
        <f t="shared" si="39"/>
        <v>1724.3999999999999</v>
      </c>
      <c r="J1078" s="717">
        <f t="shared" si="40"/>
        <v>1149.5999999999999</v>
      </c>
      <c r="K1078" s="717">
        <v>2874</v>
      </c>
    </row>
    <row r="1079" spans="1:11" s="510" customFormat="1" ht="75" hidden="1" customHeight="1">
      <c r="A1079" s="1020" t="s">
        <v>2010</v>
      </c>
      <c r="B1079" s="1022"/>
      <c r="C1079" s="714" t="s">
        <v>2017</v>
      </c>
      <c r="D1079" s="714">
        <v>200</v>
      </c>
      <c r="E1079" s="714" t="s">
        <v>2024</v>
      </c>
      <c r="F1079" s="1046"/>
      <c r="G1079" s="1048"/>
      <c r="H1079" s="1100"/>
      <c r="I1079" s="717">
        <f t="shared" si="39"/>
        <v>28200</v>
      </c>
      <c r="J1079" s="717">
        <f t="shared" si="40"/>
        <v>18800</v>
      </c>
      <c r="K1079" s="717">
        <v>47000</v>
      </c>
    </row>
    <row r="1080" spans="1:11" s="510" customFormat="1" ht="75" hidden="1" customHeight="1">
      <c r="A1080" s="1020" t="s">
        <v>2009</v>
      </c>
      <c r="B1080" s="1022"/>
      <c r="C1080" s="714" t="s">
        <v>2018</v>
      </c>
      <c r="D1080" s="714">
        <v>80</v>
      </c>
      <c r="E1080" s="714" t="s">
        <v>2022</v>
      </c>
      <c r="F1080" s="829" t="s">
        <v>2230</v>
      </c>
      <c r="G1080" s="1048"/>
      <c r="H1080" s="1100"/>
      <c r="I1080" s="717">
        <f t="shared" si="39"/>
        <v>42000</v>
      </c>
      <c r="J1080" s="717">
        <f t="shared" si="40"/>
        <v>28000</v>
      </c>
      <c r="K1080" s="717">
        <v>70000</v>
      </c>
    </row>
    <row r="1081" spans="1:11" s="510" customFormat="1" ht="75" hidden="1" customHeight="1">
      <c r="A1081" s="1020" t="s">
        <v>2011</v>
      </c>
      <c r="B1081" s="1022"/>
      <c r="C1081" s="714" t="s">
        <v>2019</v>
      </c>
      <c r="D1081" s="714">
        <v>170</v>
      </c>
      <c r="E1081" s="714" t="s">
        <v>2025</v>
      </c>
      <c r="F1081" s="1044" t="s">
        <v>2231</v>
      </c>
      <c r="G1081" s="1048"/>
      <c r="H1081" s="1100"/>
      <c r="I1081" s="717">
        <f t="shared" si="39"/>
        <v>30000</v>
      </c>
      <c r="J1081" s="717">
        <f t="shared" si="40"/>
        <v>20000</v>
      </c>
      <c r="K1081" s="717">
        <v>50000</v>
      </c>
    </row>
    <row r="1082" spans="1:11" s="510" customFormat="1" ht="75" hidden="1" customHeight="1">
      <c r="A1082" s="1020" t="s">
        <v>1840</v>
      </c>
      <c r="B1082" s="1022"/>
      <c r="C1082" s="714" t="s">
        <v>2020</v>
      </c>
      <c r="D1082" s="714">
        <v>20</v>
      </c>
      <c r="E1082" s="714" t="s">
        <v>2026</v>
      </c>
      <c r="F1082" s="1046"/>
      <c r="G1082" s="1049"/>
      <c r="H1082" s="1101"/>
      <c r="I1082" s="717">
        <f t="shared" si="39"/>
        <v>30000</v>
      </c>
      <c r="J1082" s="717">
        <f t="shared" si="40"/>
        <v>20000</v>
      </c>
      <c r="K1082" s="717">
        <v>50000</v>
      </c>
    </row>
    <row r="1083" spans="1:11" ht="74.25" hidden="1" customHeight="1">
      <c r="A1083" s="1011" t="s">
        <v>278</v>
      </c>
      <c r="B1083" s="1013"/>
      <c r="C1083" s="504"/>
      <c r="D1083" s="709"/>
      <c r="E1083" s="709"/>
      <c r="F1083" s="708"/>
      <c r="G1083" s="709"/>
      <c r="H1083" s="710"/>
      <c r="I1083" s="545">
        <f>SUM(I1084)</f>
        <v>18000</v>
      </c>
      <c r="J1083" s="545">
        <f>SUM(J1084)</f>
        <v>12000</v>
      </c>
      <c r="K1083" s="545">
        <f>I1083+J1083</f>
        <v>30000</v>
      </c>
    </row>
    <row r="1084" spans="1:11" s="510" customFormat="1" ht="74.25" hidden="1" customHeight="1">
      <c r="A1084" s="1020" t="s">
        <v>2004</v>
      </c>
      <c r="B1084" s="1022"/>
      <c r="C1084" s="714" t="s">
        <v>1215</v>
      </c>
      <c r="D1084" s="714">
        <v>30</v>
      </c>
      <c r="E1084" s="725" t="s">
        <v>2027</v>
      </c>
      <c r="F1084" s="833" t="s">
        <v>2234</v>
      </c>
      <c r="G1084" s="835">
        <v>8100</v>
      </c>
      <c r="H1084" s="834" t="s">
        <v>2445</v>
      </c>
      <c r="I1084" s="717">
        <f>K1084/100*60</f>
        <v>18000</v>
      </c>
      <c r="J1084" s="717">
        <f>K1084/100*40</f>
        <v>12000</v>
      </c>
      <c r="K1084" s="717">
        <v>30000</v>
      </c>
    </row>
    <row r="1085" spans="1:11" ht="73.5" hidden="1" customHeight="1">
      <c r="A1085" s="1011" t="s">
        <v>312</v>
      </c>
      <c r="B1085" s="1013"/>
      <c r="C1085" s="709"/>
      <c r="D1085" s="709"/>
      <c r="E1085" s="709"/>
      <c r="F1085" s="708"/>
      <c r="G1085" s="709"/>
      <c r="H1085" s="710"/>
      <c r="I1085" s="545">
        <f>SUM(I1086:I1087)</f>
        <v>18237</v>
      </c>
      <c r="J1085" s="545">
        <f>SUM(J1086:J1087)</f>
        <v>12158</v>
      </c>
      <c r="K1085" s="545">
        <f>I1085+J1085</f>
        <v>30395</v>
      </c>
    </row>
    <row r="1086" spans="1:11" s="510" customFormat="1" ht="74.25" hidden="1" customHeight="1">
      <c r="A1086" s="1020" t="s">
        <v>2012</v>
      </c>
      <c r="B1086" s="1022"/>
      <c r="C1086" s="714" t="s">
        <v>2018</v>
      </c>
      <c r="D1086" s="714">
        <v>30</v>
      </c>
      <c r="E1086" s="714" t="s">
        <v>2028</v>
      </c>
      <c r="F1086" s="1044" t="s">
        <v>2224</v>
      </c>
      <c r="G1086" s="1047">
        <v>8100</v>
      </c>
      <c r="H1086" s="1099" t="s">
        <v>2273</v>
      </c>
      <c r="I1086" s="717">
        <f>K1086/100*60</f>
        <v>9000</v>
      </c>
      <c r="J1086" s="717">
        <f>K1086/100*40</f>
        <v>6000</v>
      </c>
      <c r="K1086" s="717">
        <v>15000</v>
      </c>
    </row>
    <row r="1087" spans="1:11" s="510" customFormat="1" ht="74.25" hidden="1" customHeight="1">
      <c r="A1087" s="1020" t="s">
        <v>2013</v>
      </c>
      <c r="B1087" s="1022"/>
      <c r="C1087" s="714" t="s">
        <v>2021</v>
      </c>
      <c r="D1087" s="714">
        <v>10</v>
      </c>
      <c r="E1087" s="714" t="s">
        <v>2029</v>
      </c>
      <c r="F1087" s="1046"/>
      <c r="G1087" s="1049"/>
      <c r="H1087" s="1101"/>
      <c r="I1087" s="717">
        <f>K1087/100*60</f>
        <v>9237</v>
      </c>
      <c r="J1087" s="717">
        <f>K1087/100*40</f>
        <v>6158</v>
      </c>
      <c r="K1087" s="717">
        <v>15395</v>
      </c>
    </row>
    <row r="1088" spans="1:11" ht="106.5" hidden="1" customHeight="1">
      <c r="A1088" s="1141"/>
      <c r="B1088" s="1141"/>
      <c r="C1088" s="1141"/>
      <c r="D1088" s="1141"/>
      <c r="E1088" s="1141"/>
      <c r="F1088" s="1141"/>
      <c r="G1088" s="1141"/>
      <c r="H1088" s="1141"/>
      <c r="I1088" s="1141"/>
      <c r="J1088" s="1141"/>
      <c r="K1088" s="1141"/>
    </row>
    <row r="1089" spans="1:11" ht="36.75" hidden="1" customHeight="1">
      <c r="A1089" s="753"/>
      <c r="B1089" s="753"/>
      <c r="C1089" s="753"/>
      <c r="D1089" s="753"/>
      <c r="E1089" s="753"/>
      <c r="F1089" s="753"/>
      <c r="G1089" s="753"/>
      <c r="H1089" s="753"/>
      <c r="I1089" s="753"/>
      <c r="J1089" s="753"/>
      <c r="K1089" s="753"/>
    </row>
    <row r="1090" spans="1:11" ht="36.75" hidden="1" customHeight="1">
      <c r="A1090" s="753"/>
      <c r="B1090" s="753"/>
      <c r="C1090" s="753"/>
      <c r="D1090" s="753"/>
      <c r="E1090" s="753"/>
      <c r="F1090" s="753"/>
      <c r="G1090" s="753"/>
      <c r="H1090" s="753"/>
      <c r="I1090" s="753"/>
      <c r="J1090" s="753"/>
      <c r="K1090" s="753"/>
    </row>
    <row r="1091" spans="1:11" ht="34.5" hidden="1" customHeight="1">
      <c r="A1091" s="1128" t="s">
        <v>51</v>
      </c>
      <c r="B1091" s="1128"/>
      <c r="C1091" s="1128"/>
      <c r="D1091" s="1128"/>
      <c r="E1091" s="1128"/>
      <c r="F1091" s="1128"/>
      <c r="G1091" s="1128"/>
      <c r="H1091" s="1128"/>
      <c r="I1091" s="1128"/>
      <c r="J1091" s="1128"/>
      <c r="K1091" s="1128"/>
    </row>
    <row r="1092" spans="1:11" ht="30.75" hidden="1" customHeight="1">
      <c r="A1092" s="1128" t="s">
        <v>52</v>
      </c>
      <c r="B1092" s="1128"/>
      <c r="C1092" s="1128"/>
      <c r="D1092" s="1128"/>
      <c r="E1092" s="1128"/>
      <c r="F1092" s="1128"/>
      <c r="G1092" s="1128"/>
      <c r="H1092" s="1128"/>
      <c r="I1092" s="1128"/>
      <c r="J1092" s="1128"/>
      <c r="K1092" s="1128"/>
    </row>
    <row r="1093" spans="1:11" ht="33" hidden="1" customHeight="1">
      <c r="A1093" s="1132" t="s">
        <v>50</v>
      </c>
      <c r="B1093" s="1132"/>
      <c r="C1093" s="1132"/>
      <c r="D1093" s="1132"/>
      <c r="E1093" s="1132"/>
      <c r="F1093" s="1132"/>
      <c r="G1093" s="1132"/>
      <c r="H1093" s="1132"/>
      <c r="I1093" s="1132"/>
      <c r="J1093" s="1132"/>
      <c r="K1093" s="1132"/>
    </row>
    <row r="1094" spans="1:11" ht="33" hidden="1" customHeight="1">
      <c r="A1094" s="154"/>
      <c r="B1094" s="154"/>
      <c r="C1094" s="154"/>
      <c r="D1094" s="154"/>
      <c r="E1094" s="154"/>
      <c r="F1094" s="154"/>
      <c r="G1094" s="707"/>
      <c r="H1094" s="707"/>
      <c r="I1094" s="707"/>
      <c r="J1094" s="707"/>
      <c r="K1094" s="707"/>
    </row>
    <row r="1095" spans="1:11" ht="35.25" hidden="1">
      <c r="A1095" s="1128" t="s">
        <v>1336</v>
      </c>
      <c r="B1095" s="1128"/>
      <c r="C1095" s="1128"/>
      <c r="D1095" s="1128"/>
      <c r="E1095" s="1128"/>
      <c r="F1095" s="1128"/>
      <c r="G1095" s="1128"/>
      <c r="H1095" s="1128"/>
      <c r="I1095" s="1128"/>
      <c r="J1095" s="1128"/>
      <c r="K1095" s="1128"/>
    </row>
    <row r="1096" spans="1:11" s="620" customFormat="1" ht="33" hidden="1">
      <c r="A1096" s="65"/>
      <c r="B1096" s="65"/>
      <c r="C1096" s="65"/>
      <c r="D1096" s="65"/>
      <c r="E1096" s="65"/>
      <c r="F1096" s="65"/>
      <c r="G1096" s="68"/>
      <c r="H1096" s="68"/>
      <c r="I1096" s="68"/>
      <c r="J1096" s="68"/>
      <c r="K1096" s="68"/>
    </row>
    <row r="1097" spans="1:11" ht="20.100000000000001" hidden="1" customHeight="1">
      <c r="A1097" s="65"/>
      <c r="B1097" s="65"/>
      <c r="C1097" s="65"/>
      <c r="D1097" s="65"/>
      <c r="E1097" s="65"/>
      <c r="F1097" s="65"/>
      <c r="G1097" s="68"/>
      <c r="H1097" s="68"/>
      <c r="I1097" s="68"/>
      <c r="J1097" s="68"/>
      <c r="K1097" s="68"/>
    </row>
    <row r="1098" spans="1:11" ht="20.100000000000001" hidden="1" customHeight="1">
      <c r="A1098" s="979"/>
      <c r="B1098" s="979"/>
      <c r="C1098" s="979"/>
      <c r="D1098" s="979"/>
      <c r="E1098" s="979"/>
      <c r="F1098" s="979"/>
      <c r="G1098" s="979"/>
      <c r="H1098" s="979"/>
      <c r="I1098" s="979"/>
      <c r="J1098" s="979"/>
      <c r="K1098" s="979"/>
    </row>
    <row r="1099" spans="1:11" ht="45.75" hidden="1" customHeight="1">
      <c r="A1099" s="1030" t="s">
        <v>1383</v>
      </c>
      <c r="B1099" s="1030"/>
      <c r="C1099" s="1030"/>
      <c r="D1099" s="1030"/>
      <c r="E1099" s="1030"/>
      <c r="F1099" s="1030"/>
      <c r="G1099" s="1030"/>
      <c r="H1099" s="1030"/>
      <c r="I1099" s="1030"/>
      <c r="J1099" s="1030"/>
      <c r="K1099" s="1030"/>
    </row>
    <row r="1100" spans="1:11" ht="66" hidden="1" customHeight="1">
      <c r="A1100" s="1031" t="s">
        <v>37</v>
      </c>
      <c r="B1100" s="1033"/>
      <c r="C1100" s="1037" t="s">
        <v>178</v>
      </c>
      <c r="D1100" s="1037" t="s">
        <v>179</v>
      </c>
      <c r="E1100" s="1037" t="s">
        <v>1521</v>
      </c>
      <c r="F1100" s="1037" t="s">
        <v>14</v>
      </c>
      <c r="G1100" s="1037" t="s">
        <v>1515</v>
      </c>
      <c r="H1100" s="1037" t="s">
        <v>16</v>
      </c>
      <c r="I1100" s="1039" t="s">
        <v>1490</v>
      </c>
      <c r="J1100" s="1039" t="s">
        <v>2203</v>
      </c>
      <c r="K1100" s="1037" t="s">
        <v>200</v>
      </c>
    </row>
    <row r="1101" spans="1:11" s="500" customFormat="1" ht="30" hidden="1">
      <c r="A1101" s="1034"/>
      <c r="B1101" s="1036"/>
      <c r="C1101" s="1038"/>
      <c r="D1101" s="1038"/>
      <c r="E1101" s="1038"/>
      <c r="F1101" s="1038"/>
      <c r="G1101" s="1038"/>
      <c r="H1101" s="1038"/>
      <c r="I1101" s="1039"/>
      <c r="J1101" s="1039"/>
      <c r="K1101" s="1038"/>
    </row>
    <row r="1102" spans="1:11" s="500" customFormat="1" ht="74.25" hidden="1" customHeight="1">
      <c r="A1102" s="1102" t="s">
        <v>2082</v>
      </c>
      <c r="B1102" s="1103"/>
      <c r="C1102" s="729"/>
      <c r="D1102" s="729"/>
      <c r="E1102" s="726"/>
      <c r="F1102" s="727"/>
      <c r="G1102" s="728"/>
      <c r="H1102" s="728"/>
      <c r="I1102" s="642">
        <f>I1107+I1116+I1103+I1114</f>
        <v>280201.8</v>
      </c>
      <c r="J1102" s="642">
        <f>J1107+J1116+J1103+J1114</f>
        <v>186801.2</v>
      </c>
      <c r="K1102" s="642">
        <f>I1102+J1102</f>
        <v>467003</v>
      </c>
    </row>
    <row r="1103" spans="1:11" s="579" customFormat="1" ht="73.5" hidden="1" customHeight="1">
      <c r="A1103" s="1011" t="s">
        <v>2251</v>
      </c>
      <c r="B1103" s="1012"/>
      <c r="C1103" s="1012"/>
      <c r="D1103" s="1012"/>
      <c r="E1103" s="1012"/>
      <c r="F1103" s="1013"/>
      <c r="G1103" s="709"/>
      <c r="H1103" s="710"/>
      <c r="I1103" s="545">
        <f>SUM(I1104:I1106)</f>
        <v>103200</v>
      </c>
      <c r="J1103" s="545">
        <f>SUM(J1104:J1106)</f>
        <v>68800</v>
      </c>
      <c r="K1103" s="545">
        <f>I1103+J1103</f>
        <v>172000</v>
      </c>
    </row>
    <row r="1104" spans="1:11" s="510" customFormat="1" ht="74.25" hidden="1" customHeight="1">
      <c r="A1104" s="1020" t="s">
        <v>2098</v>
      </c>
      <c r="B1104" s="1022"/>
      <c r="C1104" s="714" t="s">
        <v>147</v>
      </c>
      <c r="D1104" s="714">
        <v>80</v>
      </c>
      <c r="E1104" s="714" t="s">
        <v>2101</v>
      </c>
      <c r="F1104" s="829" t="s">
        <v>2271</v>
      </c>
      <c r="G1104" s="1047">
        <v>8100</v>
      </c>
      <c r="H1104" s="1099" t="s">
        <v>2273</v>
      </c>
      <c r="I1104" s="717">
        <f>K1104/100*60</f>
        <v>24600</v>
      </c>
      <c r="J1104" s="717">
        <f>K1104/100*40</f>
        <v>16400</v>
      </c>
      <c r="K1104" s="717">
        <v>41000</v>
      </c>
    </row>
    <row r="1105" spans="1:11" s="510" customFormat="1" ht="74.25" hidden="1" customHeight="1">
      <c r="A1105" s="1020" t="s">
        <v>2099</v>
      </c>
      <c r="B1105" s="1022"/>
      <c r="C1105" s="714" t="s">
        <v>147</v>
      </c>
      <c r="D1105" s="714">
        <v>80</v>
      </c>
      <c r="E1105" s="714" t="s">
        <v>2101</v>
      </c>
      <c r="F1105" s="829" t="s">
        <v>2272</v>
      </c>
      <c r="G1105" s="1048"/>
      <c r="H1105" s="1100"/>
      <c r="I1105" s="717">
        <f>K1105/100*60</f>
        <v>24600</v>
      </c>
      <c r="J1105" s="717">
        <f>K1105/100*40</f>
        <v>16400</v>
      </c>
      <c r="K1105" s="717">
        <v>41000</v>
      </c>
    </row>
    <row r="1106" spans="1:11" s="510" customFormat="1" ht="74.25" hidden="1" customHeight="1">
      <c r="A1106" s="1020" t="s">
        <v>2100</v>
      </c>
      <c r="B1106" s="1022"/>
      <c r="C1106" s="714" t="s">
        <v>147</v>
      </c>
      <c r="D1106" s="714">
        <v>150</v>
      </c>
      <c r="E1106" s="714" t="s">
        <v>2101</v>
      </c>
      <c r="F1106" s="829" t="s">
        <v>2276</v>
      </c>
      <c r="G1106" s="1048"/>
      <c r="H1106" s="1100"/>
      <c r="I1106" s="717">
        <f>K1106/100*60</f>
        <v>54000</v>
      </c>
      <c r="J1106" s="717">
        <f>K1106/100*40</f>
        <v>36000</v>
      </c>
      <c r="K1106" s="717">
        <v>90000</v>
      </c>
    </row>
    <row r="1107" spans="1:11" ht="75" hidden="1" customHeight="1">
      <c r="A1107" s="1011" t="s">
        <v>1541</v>
      </c>
      <c r="B1107" s="1013"/>
      <c r="C1107" s="709"/>
      <c r="D1107" s="709"/>
      <c r="E1107" s="709"/>
      <c r="F1107" s="708"/>
      <c r="G1107" s="709"/>
      <c r="H1107" s="710"/>
      <c r="I1107" s="545">
        <f>SUM(I1108:I1113)</f>
        <v>153001.79999999999</v>
      </c>
      <c r="J1107" s="545">
        <f>SUM(J1108:J1113)</f>
        <v>102001.2</v>
      </c>
      <c r="K1107" s="545">
        <f>I1107+J1107</f>
        <v>255003</v>
      </c>
    </row>
    <row r="1108" spans="1:11" s="510" customFormat="1" ht="74.25" hidden="1" customHeight="1">
      <c r="A1108" s="1020" t="s">
        <v>2112</v>
      </c>
      <c r="B1108" s="1022"/>
      <c r="C1108" s="714" t="s">
        <v>2103</v>
      </c>
      <c r="D1108" s="714">
        <v>5</v>
      </c>
      <c r="E1108" s="714" t="s">
        <v>2104</v>
      </c>
      <c r="F1108" s="1044" t="s">
        <v>2229</v>
      </c>
      <c r="G1108" s="1047">
        <v>8100</v>
      </c>
      <c r="H1108" s="1099" t="s">
        <v>2273</v>
      </c>
      <c r="I1108" s="717">
        <f t="shared" ref="I1108:I1113" si="41">K1108/100*60</f>
        <v>33000</v>
      </c>
      <c r="J1108" s="717">
        <f t="shared" ref="J1108:J1113" si="42">K1108/100*40</f>
        <v>22000</v>
      </c>
      <c r="K1108" s="717">
        <v>55000</v>
      </c>
    </row>
    <row r="1109" spans="1:11" s="510" customFormat="1" ht="75" hidden="1" customHeight="1">
      <c r="A1109" s="1020" t="s">
        <v>2113</v>
      </c>
      <c r="B1109" s="1022"/>
      <c r="C1109" s="714" t="s">
        <v>2103</v>
      </c>
      <c r="D1109" s="714">
        <v>20</v>
      </c>
      <c r="E1109" s="714" t="s">
        <v>2104</v>
      </c>
      <c r="F1109" s="1045"/>
      <c r="G1109" s="1048"/>
      <c r="H1109" s="1100"/>
      <c r="I1109" s="717">
        <f t="shared" si="41"/>
        <v>12000</v>
      </c>
      <c r="J1109" s="717">
        <f t="shared" si="42"/>
        <v>8000</v>
      </c>
      <c r="K1109" s="717">
        <v>20000</v>
      </c>
    </row>
    <row r="1110" spans="1:11" s="510" customFormat="1" ht="75" hidden="1" customHeight="1">
      <c r="A1110" s="1020" t="s">
        <v>2114</v>
      </c>
      <c r="B1110" s="1022"/>
      <c r="C1110" s="714" t="s">
        <v>1906</v>
      </c>
      <c r="D1110" s="714">
        <v>15</v>
      </c>
      <c r="E1110" s="714" t="s">
        <v>2105</v>
      </c>
      <c r="F1110" s="1046"/>
      <c r="G1110" s="1048"/>
      <c r="H1110" s="1100"/>
      <c r="I1110" s="717">
        <f t="shared" si="41"/>
        <v>33000</v>
      </c>
      <c r="J1110" s="717">
        <f t="shared" si="42"/>
        <v>22000</v>
      </c>
      <c r="K1110" s="717">
        <v>55000</v>
      </c>
    </row>
    <row r="1111" spans="1:11" s="510" customFormat="1" ht="75" hidden="1" customHeight="1">
      <c r="A1111" s="1020" t="s">
        <v>1546</v>
      </c>
      <c r="B1111" s="1022"/>
      <c r="C1111" s="714" t="s">
        <v>1677</v>
      </c>
      <c r="D1111" s="714">
        <v>50</v>
      </c>
      <c r="E1111" s="714" t="s">
        <v>2102</v>
      </c>
      <c r="F1111" s="829" t="s">
        <v>2230</v>
      </c>
      <c r="G1111" s="1048"/>
      <c r="H1111" s="1100"/>
      <c r="I1111" s="717">
        <f t="shared" si="41"/>
        <v>51000</v>
      </c>
      <c r="J1111" s="717">
        <f t="shared" si="42"/>
        <v>34000</v>
      </c>
      <c r="K1111" s="717">
        <v>85000</v>
      </c>
    </row>
    <row r="1112" spans="1:11" s="510" customFormat="1" ht="75" hidden="1" customHeight="1">
      <c r="A1112" s="1020" t="s">
        <v>1840</v>
      </c>
      <c r="B1112" s="1022"/>
      <c r="C1112" s="714" t="s">
        <v>2106</v>
      </c>
      <c r="D1112" s="714">
        <v>5</v>
      </c>
      <c r="E1112" s="714" t="s">
        <v>2107</v>
      </c>
      <c r="F1112" s="1044" t="s">
        <v>2231</v>
      </c>
      <c r="G1112" s="1048"/>
      <c r="H1112" s="1100"/>
      <c r="I1112" s="717">
        <f t="shared" si="41"/>
        <v>9000</v>
      </c>
      <c r="J1112" s="717">
        <f t="shared" si="42"/>
        <v>6000</v>
      </c>
      <c r="K1112" s="717">
        <v>15000</v>
      </c>
    </row>
    <row r="1113" spans="1:11" s="510" customFormat="1" ht="75" hidden="1" customHeight="1">
      <c r="A1113" s="1020" t="s">
        <v>2011</v>
      </c>
      <c r="B1113" s="1022"/>
      <c r="C1113" s="714" t="s">
        <v>2108</v>
      </c>
      <c r="D1113" s="714">
        <v>45</v>
      </c>
      <c r="E1113" s="714" t="s">
        <v>1625</v>
      </c>
      <c r="F1113" s="1046"/>
      <c r="G1113" s="1049"/>
      <c r="H1113" s="1101"/>
      <c r="I1113" s="717">
        <f t="shared" si="41"/>
        <v>15001.8</v>
      </c>
      <c r="J1113" s="717">
        <f t="shared" si="42"/>
        <v>10001.200000000001</v>
      </c>
      <c r="K1113" s="717">
        <v>25003</v>
      </c>
    </row>
    <row r="1114" spans="1:11" ht="74.25" hidden="1" customHeight="1">
      <c r="A1114" s="1011" t="s">
        <v>278</v>
      </c>
      <c r="B1114" s="1013"/>
      <c r="C1114" s="504"/>
      <c r="D1114" s="709"/>
      <c r="E1114" s="709"/>
      <c r="F1114" s="708"/>
      <c r="G1114" s="709"/>
      <c r="H1114" s="710"/>
      <c r="I1114" s="545">
        <f>SUM(I1115)</f>
        <v>12000</v>
      </c>
      <c r="J1114" s="545">
        <f>SUM(J1115)</f>
        <v>8000</v>
      </c>
      <c r="K1114" s="545">
        <f>I1114+J1114</f>
        <v>20000</v>
      </c>
    </row>
    <row r="1115" spans="1:11" s="510" customFormat="1" ht="74.25" hidden="1" customHeight="1">
      <c r="A1115" s="1020" t="s">
        <v>2004</v>
      </c>
      <c r="B1115" s="1022"/>
      <c r="C1115" s="714" t="s">
        <v>1215</v>
      </c>
      <c r="D1115" s="714">
        <v>20</v>
      </c>
      <c r="E1115" s="725" t="s">
        <v>2109</v>
      </c>
      <c r="F1115" s="833" t="s">
        <v>2234</v>
      </c>
      <c r="G1115" s="835">
        <v>8100</v>
      </c>
      <c r="H1115" s="834" t="s">
        <v>2445</v>
      </c>
      <c r="I1115" s="717">
        <f>K1115/100*60</f>
        <v>12000</v>
      </c>
      <c r="J1115" s="717">
        <f>K1115/100*40</f>
        <v>8000</v>
      </c>
      <c r="K1115" s="717">
        <v>20000</v>
      </c>
    </row>
    <row r="1116" spans="1:11" ht="73.5" hidden="1" customHeight="1">
      <c r="A1116" s="1011" t="s">
        <v>312</v>
      </c>
      <c r="B1116" s="1013"/>
      <c r="C1116" s="709"/>
      <c r="D1116" s="709"/>
      <c r="E1116" s="709"/>
      <c r="F1116" s="708"/>
      <c r="G1116" s="709"/>
      <c r="H1116" s="710"/>
      <c r="I1116" s="545">
        <f>SUM(I1117:I1118)</f>
        <v>12000</v>
      </c>
      <c r="J1116" s="545">
        <f>SUM(J1117:J1118)</f>
        <v>8000</v>
      </c>
      <c r="K1116" s="545">
        <f>I1116+J1116</f>
        <v>20000</v>
      </c>
    </row>
    <row r="1117" spans="1:11" s="510" customFormat="1" ht="74.25" hidden="1" customHeight="1">
      <c r="A1117" s="1020" t="s">
        <v>2115</v>
      </c>
      <c r="B1117" s="1022"/>
      <c r="C1117" s="714" t="s">
        <v>2110</v>
      </c>
      <c r="D1117" s="714">
        <v>80</v>
      </c>
      <c r="E1117" s="714" t="s">
        <v>2111</v>
      </c>
      <c r="F1117" s="1044" t="s">
        <v>2224</v>
      </c>
      <c r="G1117" s="1047">
        <v>8100</v>
      </c>
      <c r="H1117" s="1099" t="s">
        <v>2273</v>
      </c>
      <c r="I1117" s="717">
        <f>K1117/100*60</f>
        <v>6000</v>
      </c>
      <c r="J1117" s="717">
        <f>K1117/100*40</f>
        <v>4000</v>
      </c>
      <c r="K1117" s="717">
        <v>10000</v>
      </c>
    </row>
    <row r="1118" spans="1:11" s="510" customFormat="1" ht="74.25" hidden="1" customHeight="1">
      <c r="A1118" s="1020" t="s">
        <v>1546</v>
      </c>
      <c r="B1118" s="1022"/>
      <c r="C1118" s="714" t="s">
        <v>1677</v>
      </c>
      <c r="D1118" s="714">
        <v>50</v>
      </c>
      <c r="E1118" s="714" t="s">
        <v>2102</v>
      </c>
      <c r="F1118" s="1046"/>
      <c r="G1118" s="1049"/>
      <c r="H1118" s="1101"/>
      <c r="I1118" s="717">
        <f>K1118/100*60</f>
        <v>6000</v>
      </c>
      <c r="J1118" s="717">
        <f>K1118/100*40</f>
        <v>4000</v>
      </c>
      <c r="K1118" s="717">
        <v>10000</v>
      </c>
    </row>
    <row r="1119" spans="1:11" ht="114" hidden="1" customHeight="1">
      <c r="A1119" s="1021"/>
      <c r="B1119" s="1021"/>
      <c r="C1119" s="1021"/>
      <c r="D1119" s="1021"/>
      <c r="E1119" s="1021"/>
      <c r="F1119" s="1021"/>
      <c r="G1119" s="1021"/>
      <c r="H1119" s="1021"/>
      <c r="I1119" s="1021"/>
      <c r="J1119" s="1021"/>
      <c r="K1119" s="1021"/>
    </row>
    <row r="1120" spans="1:11" s="743" customFormat="1" ht="36.75" hidden="1" customHeight="1">
      <c r="A1120" s="1135"/>
      <c r="B1120" s="1136"/>
      <c r="C1120" s="738"/>
      <c r="D1120" s="738"/>
      <c r="E1120" s="739"/>
      <c r="F1120" s="740"/>
      <c r="G1120" s="741"/>
      <c r="H1120" s="741"/>
      <c r="I1120" s="742"/>
      <c r="J1120" s="742"/>
      <c r="K1120" s="742"/>
    </row>
    <row r="1121" spans="1:11" ht="66" hidden="1" customHeight="1">
      <c r="A1121" s="1031" t="s">
        <v>37</v>
      </c>
      <c r="B1121" s="1033"/>
      <c r="C1121" s="1037" t="s">
        <v>178</v>
      </c>
      <c r="D1121" s="1037" t="s">
        <v>179</v>
      </c>
      <c r="E1121" s="1037" t="s">
        <v>1521</v>
      </c>
      <c r="F1121" s="1037" t="s">
        <v>14</v>
      </c>
      <c r="G1121" s="1037" t="s">
        <v>1515</v>
      </c>
      <c r="H1121" s="1037" t="s">
        <v>16</v>
      </c>
      <c r="I1121" s="1039" t="s">
        <v>1490</v>
      </c>
      <c r="J1121" s="1039" t="s">
        <v>2203</v>
      </c>
      <c r="K1121" s="1037" t="s">
        <v>200</v>
      </c>
    </row>
    <row r="1122" spans="1:11" s="500" customFormat="1" ht="30" hidden="1">
      <c r="A1122" s="1034"/>
      <c r="B1122" s="1036"/>
      <c r="C1122" s="1038"/>
      <c r="D1122" s="1038"/>
      <c r="E1122" s="1038"/>
      <c r="F1122" s="1038"/>
      <c r="G1122" s="1038"/>
      <c r="H1122" s="1038"/>
      <c r="I1122" s="1039"/>
      <c r="J1122" s="1039"/>
      <c r="K1122" s="1038"/>
    </row>
    <row r="1123" spans="1:11" s="500" customFormat="1" ht="74.25" hidden="1" customHeight="1">
      <c r="A1123" s="1102" t="s">
        <v>2073</v>
      </c>
      <c r="B1123" s="1103"/>
      <c r="C1123" s="729"/>
      <c r="D1123" s="729"/>
      <c r="E1123" s="726"/>
      <c r="F1123" s="727"/>
      <c r="G1123" s="728"/>
      <c r="H1123" s="728"/>
      <c r="I1123" s="642">
        <f>I1124+I1135+I1133</f>
        <v>139721.4</v>
      </c>
      <c r="J1123" s="642">
        <f>J1124+J1135+J1133</f>
        <v>93147.6</v>
      </c>
      <c r="K1123" s="642">
        <f>I1123+J1123</f>
        <v>232869</v>
      </c>
    </row>
    <row r="1124" spans="1:11" ht="75" hidden="1" customHeight="1">
      <c r="A1124" s="1011" t="s">
        <v>1541</v>
      </c>
      <c r="B1124" s="1013"/>
      <c r="C1124" s="709"/>
      <c r="D1124" s="709"/>
      <c r="E1124" s="709"/>
      <c r="F1124" s="708"/>
      <c r="G1124" s="709"/>
      <c r="H1124" s="710"/>
      <c r="I1124" s="545">
        <f>SUM(I1125:I1132)</f>
        <v>123715.20000000001</v>
      </c>
      <c r="J1124" s="545">
        <f>SUM(J1125:J1132)</f>
        <v>82476.800000000003</v>
      </c>
      <c r="K1124" s="545">
        <f>I1124+J1124</f>
        <v>206192</v>
      </c>
    </row>
    <row r="1125" spans="1:11" s="510" customFormat="1" ht="75" hidden="1" customHeight="1">
      <c r="A1125" s="1020" t="s">
        <v>2074</v>
      </c>
      <c r="B1125" s="1022"/>
      <c r="C1125" s="714" t="s">
        <v>1846</v>
      </c>
      <c r="D1125" s="744">
        <v>1621</v>
      </c>
      <c r="E1125" s="714" t="s">
        <v>2089</v>
      </c>
      <c r="F1125" s="1044" t="s">
        <v>2229</v>
      </c>
      <c r="G1125" s="1047">
        <v>8100</v>
      </c>
      <c r="H1125" s="1099" t="s">
        <v>2273</v>
      </c>
      <c r="I1125" s="717">
        <f t="shared" ref="I1125:I1132" si="43">K1125/100*60</f>
        <v>19251</v>
      </c>
      <c r="J1125" s="717">
        <f t="shared" ref="J1125:J1132" si="44">K1125/100*40</f>
        <v>12834</v>
      </c>
      <c r="K1125" s="717">
        <v>32085</v>
      </c>
    </row>
    <row r="1126" spans="1:11" s="510" customFormat="1" ht="75" hidden="1" customHeight="1">
      <c r="A1126" s="1020" t="s">
        <v>2075</v>
      </c>
      <c r="B1126" s="1022"/>
      <c r="C1126" s="714" t="s">
        <v>2083</v>
      </c>
      <c r="D1126" s="714">
        <v>20</v>
      </c>
      <c r="E1126" s="714" t="s">
        <v>2090</v>
      </c>
      <c r="F1126" s="1045"/>
      <c r="G1126" s="1048"/>
      <c r="H1126" s="1100"/>
      <c r="I1126" s="717">
        <f t="shared" si="43"/>
        <v>6000</v>
      </c>
      <c r="J1126" s="717">
        <f t="shared" si="44"/>
        <v>4000</v>
      </c>
      <c r="K1126" s="717">
        <v>10000</v>
      </c>
    </row>
    <row r="1127" spans="1:11" s="510" customFormat="1" ht="75" hidden="1" customHeight="1">
      <c r="A1127" s="1020" t="s">
        <v>2077</v>
      </c>
      <c r="B1127" s="1022"/>
      <c r="C1127" s="714" t="s">
        <v>2084</v>
      </c>
      <c r="D1127" s="714">
        <v>17</v>
      </c>
      <c r="E1127" s="714" t="s">
        <v>2089</v>
      </c>
      <c r="F1127" s="1046"/>
      <c r="G1127" s="1048"/>
      <c r="H1127" s="1100"/>
      <c r="I1127" s="717">
        <f t="shared" si="43"/>
        <v>18720</v>
      </c>
      <c r="J1127" s="717">
        <f t="shared" si="44"/>
        <v>12480</v>
      </c>
      <c r="K1127" s="717">
        <v>31200</v>
      </c>
    </row>
    <row r="1128" spans="1:11" s="510" customFormat="1" ht="75" hidden="1" customHeight="1">
      <c r="A1128" s="1020" t="s">
        <v>2076</v>
      </c>
      <c r="B1128" s="1022"/>
      <c r="C1128" s="714" t="s">
        <v>2084</v>
      </c>
      <c r="D1128" s="714">
        <v>17</v>
      </c>
      <c r="E1128" s="714" t="s">
        <v>2091</v>
      </c>
      <c r="F1128" s="1044" t="s">
        <v>2230</v>
      </c>
      <c r="G1128" s="1048"/>
      <c r="H1128" s="1100"/>
      <c r="I1128" s="717">
        <f t="shared" si="43"/>
        <v>27000</v>
      </c>
      <c r="J1128" s="717">
        <f t="shared" si="44"/>
        <v>18000</v>
      </c>
      <c r="K1128" s="717">
        <v>45000</v>
      </c>
    </row>
    <row r="1129" spans="1:11" s="510" customFormat="1" ht="74.25" hidden="1" customHeight="1">
      <c r="A1129" s="1020" t="s">
        <v>2078</v>
      </c>
      <c r="B1129" s="1022"/>
      <c r="C1129" s="714" t="s">
        <v>1846</v>
      </c>
      <c r="D1129" s="744">
        <v>1620</v>
      </c>
      <c r="E1129" s="714" t="s">
        <v>2092</v>
      </c>
      <c r="F1129" s="1046"/>
      <c r="G1129" s="1048"/>
      <c r="H1129" s="1100"/>
      <c r="I1129" s="717">
        <f t="shared" si="43"/>
        <v>6154.8</v>
      </c>
      <c r="J1129" s="717">
        <f t="shared" si="44"/>
        <v>4103.2</v>
      </c>
      <c r="K1129" s="717">
        <v>10258</v>
      </c>
    </row>
    <row r="1130" spans="1:11" s="510" customFormat="1" ht="75" hidden="1" customHeight="1">
      <c r="A1130" s="1020" t="s">
        <v>2079</v>
      </c>
      <c r="B1130" s="1022"/>
      <c r="C1130" s="714" t="s">
        <v>2085</v>
      </c>
      <c r="D1130" s="714">
        <v>4</v>
      </c>
      <c r="E1130" s="714" t="s">
        <v>2093</v>
      </c>
      <c r="F1130" s="1044" t="s">
        <v>2231</v>
      </c>
      <c r="G1130" s="1048"/>
      <c r="H1130" s="1100"/>
      <c r="I1130" s="717">
        <f t="shared" si="43"/>
        <v>16800</v>
      </c>
      <c r="J1130" s="717">
        <f t="shared" si="44"/>
        <v>11200</v>
      </c>
      <c r="K1130" s="717">
        <v>28000</v>
      </c>
    </row>
    <row r="1131" spans="1:11" s="510" customFormat="1" ht="75" hidden="1" customHeight="1">
      <c r="A1131" s="1020" t="s">
        <v>2080</v>
      </c>
      <c r="B1131" s="1022"/>
      <c r="C1131" s="714" t="s">
        <v>2086</v>
      </c>
      <c r="D1131" s="714">
        <v>121</v>
      </c>
      <c r="E1131" s="714" t="s">
        <v>2094</v>
      </c>
      <c r="F1131" s="1045"/>
      <c r="G1131" s="1048"/>
      <c r="H1131" s="1100"/>
      <c r="I1131" s="717">
        <f t="shared" si="43"/>
        <v>14400</v>
      </c>
      <c r="J1131" s="717">
        <f t="shared" si="44"/>
        <v>9600</v>
      </c>
      <c r="K1131" s="717">
        <v>24000</v>
      </c>
    </row>
    <row r="1132" spans="1:11" s="510" customFormat="1" ht="75" hidden="1" customHeight="1">
      <c r="A1132" s="1020" t="s">
        <v>1549</v>
      </c>
      <c r="B1132" s="1022"/>
      <c r="C1132" s="714" t="s">
        <v>2087</v>
      </c>
      <c r="D1132" s="716">
        <v>0.6</v>
      </c>
      <c r="E1132" s="714" t="s">
        <v>2095</v>
      </c>
      <c r="F1132" s="1046"/>
      <c r="G1132" s="1049"/>
      <c r="H1132" s="1101"/>
      <c r="I1132" s="717">
        <f t="shared" si="43"/>
        <v>15389.400000000001</v>
      </c>
      <c r="J1132" s="717">
        <f t="shared" si="44"/>
        <v>10259.6</v>
      </c>
      <c r="K1132" s="717">
        <v>25649</v>
      </c>
    </row>
    <row r="1133" spans="1:11" ht="74.25" hidden="1" customHeight="1">
      <c r="A1133" s="1011" t="s">
        <v>278</v>
      </c>
      <c r="B1133" s="1013"/>
      <c r="C1133" s="504"/>
      <c r="D1133" s="709"/>
      <c r="E1133" s="709"/>
      <c r="F1133" s="708"/>
      <c r="G1133" s="709"/>
      <c r="H1133" s="710"/>
      <c r="I1133" s="545">
        <f>SUM(I1134)</f>
        <v>6509.4</v>
      </c>
      <c r="J1133" s="545">
        <f>SUM(J1134)</f>
        <v>4339.5999999999995</v>
      </c>
      <c r="K1133" s="545">
        <f>I1133+J1133</f>
        <v>10849</v>
      </c>
    </row>
    <row r="1134" spans="1:11" s="510" customFormat="1" ht="74.25" hidden="1" customHeight="1">
      <c r="A1134" s="1020" t="s">
        <v>2004</v>
      </c>
      <c r="B1134" s="1022"/>
      <c r="C1134" s="714" t="s">
        <v>1215</v>
      </c>
      <c r="D1134" s="714">
        <v>30</v>
      </c>
      <c r="E1134" s="725" t="s">
        <v>2096</v>
      </c>
      <c r="F1134" s="833" t="s">
        <v>2234</v>
      </c>
      <c r="G1134" s="835">
        <v>8100</v>
      </c>
      <c r="H1134" s="834" t="s">
        <v>2445</v>
      </c>
      <c r="I1134" s="717">
        <f>K1134/100*60</f>
        <v>6509.4</v>
      </c>
      <c r="J1134" s="717">
        <f>K1134/100*40</f>
        <v>4339.5999999999995</v>
      </c>
      <c r="K1134" s="717">
        <v>10849</v>
      </c>
    </row>
    <row r="1135" spans="1:11" ht="73.5" hidden="1" customHeight="1">
      <c r="A1135" s="1011" t="s">
        <v>312</v>
      </c>
      <c r="B1135" s="1013"/>
      <c r="C1135" s="709"/>
      <c r="D1135" s="709"/>
      <c r="E1135" s="709"/>
      <c r="F1135" s="708"/>
      <c r="G1135" s="709"/>
      <c r="H1135" s="710"/>
      <c r="I1135" s="545">
        <f>SUM(I1136:I1137)</f>
        <v>9496.7999999999993</v>
      </c>
      <c r="J1135" s="545">
        <f>SUM(J1136:J1137)</f>
        <v>6331.2</v>
      </c>
      <c r="K1135" s="545">
        <f>I1135+J1135</f>
        <v>15828</v>
      </c>
    </row>
    <row r="1136" spans="1:11" s="510" customFormat="1" ht="74.25" hidden="1" customHeight="1">
      <c r="A1136" s="1020" t="s">
        <v>2081</v>
      </c>
      <c r="B1136" s="1022"/>
      <c r="C1136" s="714" t="s">
        <v>2084</v>
      </c>
      <c r="D1136" s="714">
        <v>17</v>
      </c>
      <c r="E1136" s="714" t="s">
        <v>2097</v>
      </c>
      <c r="F1136" s="1044" t="s">
        <v>2224</v>
      </c>
      <c r="G1136" s="1047">
        <v>8100</v>
      </c>
      <c r="H1136" s="1099" t="s">
        <v>2273</v>
      </c>
      <c r="I1136" s="717">
        <f>K1136/100*60</f>
        <v>6000</v>
      </c>
      <c r="J1136" s="717">
        <f>K1136/100*40</f>
        <v>4000</v>
      </c>
      <c r="K1136" s="717">
        <v>10000</v>
      </c>
    </row>
    <row r="1137" spans="1:11" s="510" customFormat="1" ht="74.25" hidden="1" customHeight="1">
      <c r="A1137" s="1020" t="s">
        <v>1556</v>
      </c>
      <c r="B1137" s="1022"/>
      <c r="C1137" s="714" t="s">
        <v>2088</v>
      </c>
      <c r="D1137" s="714">
        <v>10</v>
      </c>
      <c r="E1137" s="714" t="s">
        <v>2097</v>
      </c>
      <c r="F1137" s="1046"/>
      <c r="G1137" s="1049"/>
      <c r="H1137" s="1101"/>
      <c r="I1137" s="717">
        <f>K1137/100*60</f>
        <v>3496.8</v>
      </c>
      <c r="J1137" s="717">
        <f>K1137/100*40</f>
        <v>2331.1999999999998</v>
      </c>
      <c r="K1137" s="717">
        <v>5828</v>
      </c>
    </row>
    <row r="1138" spans="1:11" ht="54.75" hidden="1" customHeight="1">
      <c r="A1138" s="528"/>
      <c r="B1138" s="529"/>
      <c r="C1138" s="529"/>
      <c r="D1138" s="530"/>
      <c r="E1138" s="531"/>
      <c r="F1138" s="532"/>
      <c r="G1138" s="533"/>
      <c r="H1138" s="534"/>
      <c r="I1138" s="535"/>
      <c r="J1138" s="535"/>
      <c r="K1138" s="535"/>
    </row>
    <row r="1139" spans="1:11" s="472" customFormat="1" ht="60" customHeight="1">
      <c r="A1139" s="41"/>
      <c r="B1139" s="27"/>
      <c r="C1139" s="27"/>
      <c r="D1139" s="27"/>
      <c r="E1139" s="27"/>
      <c r="F1139" s="11"/>
      <c r="G1139" s="11"/>
      <c r="H1139" s="11"/>
      <c r="I1139" s="11"/>
      <c r="J1139" s="11"/>
      <c r="K1139" s="11"/>
    </row>
    <row r="1140" spans="1:11" ht="35.1" customHeight="1">
      <c r="I1140" s="429"/>
      <c r="J1140" s="429"/>
    </row>
    <row r="1141" spans="1:11" ht="35.1" customHeight="1">
      <c r="D1141" s="404"/>
      <c r="I1141" s="430"/>
      <c r="J1141" s="430"/>
    </row>
  </sheetData>
  <mergeCells count="1451">
    <mergeCell ref="A1136:B1136"/>
    <mergeCell ref="F1136:F1137"/>
    <mergeCell ref="G1136:G1137"/>
    <mergeCell ref="H1136:H1137"/>
    <mergeCell ref="A1137:B1137"/>
    <mergeCell ref="A764:H764"/>
    <mergeCell ref="A809:H809"/>
    <mergeCell ref="A874:K874"/>
    <mergeCell ref="F1130:F1132"/>
    <mergeCell ref="A1131:B1131"/>
    <mergeCell ref="A1132:B1132"/>
    <mergeCell ref="A1133:B1133"/>
    <mergeCell ref="A1134:B1134"/>
    <mergeCell ref="A1135:B1135"/>
    <mergeCell ref="A1125:B1125"/>
    <mergeCell ref="F1125:F1127"/>
    <mergeCell ref="G1125:G1132"/>
    <mergeCell ref="H1125:H1132"/>
    <mergeCell ref="A1126:B1126"/>
    <mergeCell ref="A1127:B1127"/>
    <mergeCell ref="A1128:B1128"/>
    <mergeCell ref="F1128:F1129"/>
    <mergeCell ref="A1129:B1129"/>
    <mergeCell ref="A1130:B1130"/>
    <mergeCell ref="H1121:H1122"/>
    <mergeCell ref="I1121:I1122"/>
    <mergeCell ref="J1121:J1122"/>
    <mergeCell ref="K1121:K1122"/>
    <mergeCell ref="A1123:B1123"/>
    <mergeCell ref="A1124:B1124"/>
    <mergeCell ref="H1117:H1118"/>
    <mergeCell ref="A1118:B1118"/>
    <mergeCell ref="A1119:K1119"/>
    <mergeCell ref="A1120:B1120"/>
    <mergeCell ref="A1121:B1122"/>
    <mergeCell ref="C1121:C1122"/>
    <mergeCell ref="D1121:D1122"/>
    <mergeCell ref="E1121:E1122"/>
    <mergeCell ref="F1121:F1122"/>
    <mergeCell ref="G1121:G1122"/>
    <mergeCell ref="A1114:B1114"/>
    <mergeCell ref="A1115:B1115"/>
    <mergeCell ref="A1116:B1116"/>
    <mergeCell ref="A1117:B1117"/>
    <mergeCell ref="F1117:F1118"/>
    <mergeCell ref="G1117:G1118"/>
    <mergeCell ref="A1108:B1108"/>
    <mergeCell ref="F1108:F1110"/>
    <mergeCell ref="G1108:G1113"/>
    <mergeCell ref="H1108:H1113"/>
    <mergeCell ref="A1109:B1109"/>
    <mergeCell ref="A1110:B1110"/>
    <mergeCell ref="A1111:B1111"/>
    <mergeCell ref="A1112:B1112"/>
    <mergeCell ref="F1112:F1113"/>
    <mergeCell ref="A1113:B1113"/>
    <mergeCell ref="A1104:B1104"/>
    <mergeCell ref="G1104:G1106"/>
    <mergeCell ref="H1104:H1106"/>
    <mergeCell ref="A1105:B1105"/>
    <mergeCell ref="A1106:B1106"/>
    <mergeCell ref="A1107:B1107"/>
    <mergeCell ref="H1100:H1101"/>
    <mergeCell ref="I1100:I1101"/>
    <mergeCell ref="J1100:J1101"/>
    <mergeCell ref="K1100:K1101"/>
    <mergeCell ref="A1102:B1102"/>
    <mergeCell ref="A1103:F1103"/>
    <mergeCell ref="A1093:K1093"/>
    <mergeCell ref="A1095:K1095"/>
    <mergeCell ref="A1098:K1098"/>
    <mergeCell ref="A1099:K1099"/>
    <mergeCell ref="A1100:B1101"/>
    <mergeCell ref="C1100:C1101"/>
    <mergeCell ref="D1100:D1101"/>
    <mergeCell ref="E1100:E1101"/>
    <mergeCell ref="F1100:F1101"/>
    <mergeCell ref="G1100:G1101"/>
    <mergeCell ref="G1086:G1087"/>
    <mergeCell ref="H1086:H1087"/>
    <mergeCell ref="A1087:B1087"/>
    <mergeCell ref="A1088:K1088"/>
    <mergeCell ref="A1091:K1091"/>
    <mergeCell ref="A1092:K1092"/>
    <mergeCell ref="A1082:B1082"/>
    <mergeCell ref="A1083:B1083"/>
    <mergeCell ref="A1084:B1084"/>
    <mergeCell ref="A1085:B1085"/>
    <mergeCell ref="A1086:B1086"/>
    <mergeCell ref="F1086:F1087"/>
    <mergeCell ref="A1076:B1076"/>
    <mergeCell ref="A1077:B1077"/>
    <mergeCell ref="F1077:F1079"/>
    <mergeCell ref="G1077:G1082"/>
    <mergeCell ref="H1077:H1082"/>
    <mergeCell ref="A1078:B1078"/>
    <mergeCell ref="A1079:B1079"/>
    <mergeCell ref="A1080:B1080"/>
    <mergeCell ref="A1081:B1081"/>
    <mergeCell ref="F1081:F1082"/>
    <mergeCell ref="I1070:I1071"/>
    <mergeCell ref="J1070:J1071"/>
    <mergeCell ref="K1070:K1071"/>
    <mergeCell ref="A1072:B1072"/>
    <mergeCell ref="A1073:F1073"/>
    <mergeCell ref="A1074:B1074"/>
    <mergeCell ref="G1074:G1075"/>
    <mergeCell ref="H1074:H1075"/>
    <mergeCell ref="A1075:B1075"/>
    <mergeCell ref="C1070:C1071"/>
    <mergeCell ref="D1070:D1071"/>
    <mergeCell ref="E1070:E1071"/>
    <mergeCell ref="F1070:F1071"/>
    <mergeCell ref="G1070:G1071"/>
    <mergeCell ref="H1070:H1071"/>
    <mergeCell ref="A1065:B1065"/>
    <mergeCell ref="A1066:B1066"/>
    <mergeCell ref="A1067:B1067"/>
    <mergeCell ref="A1068:B1068"/>
    <mergeCell ref="A1069:B1069"/>
    <mergeCell ref="A1070:B1071"/>
    <mergeCell ref="A1060:B1060"/>
    <mergeCell ref="G1060:G1064"/>
    <mergeCell ref="H1060:H1064"/>
    <mergeCell ref="A1061:B1061"/>
    <mergeCell ref="A1062:B1062"/>
    <mergeCell ref="A1063:B1063"/>
    <mergeCell ref="F1063:F1064"/>
    <mergeCell ref="A1064:B1064"/>
    <mergeCell ref="H1056:H1057"/>
    <mergeCell ref="I1056:I1057"/>
    <mergeCell ref="J1056:J1057"/>
    <mergeCell ref="K1056:K1057"/>
    <mergeCell ref="A1058:B1058"/>
    <mergeCell ref="A1059:B1059"/>
    <mergeCell ref="A1049:K1049"/>
    <mergeCell ref="A1051:K1051"/>
    <mergeCell ref="A1054:K1054"/>
    <mergeCell ref="A1055:K1055"/>
    <mergeCell ref="A1056:B1057"/>
    <mergeCell ref="C1056:C1057"/>
    <mergeCell ref="D1056:D1057"/>
    <mergeCell ref="E1056:E1057"/>
    <mergeCell ref="F1056:F1057"/>
    <mergeCell ref="G1056:G1057"/>
    <mergeCell ref="A1041:B1041"/>
    <mergeCell ref="A1042:B1042"/>
    <mergeCell ref="A1043:B1043"/>
    <mergeCell ref="A1044:B1044"/>
    <mergeCell ref="A1047:K1047"/>
    <mergeCell ref="A1048:K1048"/>
    <mergeCell ref="F1036:F1037"/>
    <mergeCell ref="A1037:B1037"/>
    <mergeCell ref="A1038:B1038"/>
    <mergeCell ref="F1038:F1040"/>
    <mergeCell ref="A1039:B1039"/>
    <mergeCell ref="A1040:B1040"/>
    <mergeCell ref="A1030:B1030"/>
    <mergeCell ref="A1031:B1031"/>
    <mergeCell ref="A1032:B1032"/>
    <mergeCell ref="F1032:F1035"/>
    <mergeCell ref="G1032:G1040"/>
    <mergeCell ref="H1032:H1040"/>
    <mergeCell ref="A1033:B1033"/>
    <mergeCell ref="A1034:B1034"/>
    <mergeCell ref="A1035:B1035"/>
    <mergeCell ref="A1036:B1036"/>
    <mergeCell ref="H1026:H1027"/>
    <mergeCell ref="I1026:I1027"/>
    <mergeCell ref="J1026:J1027"/>
    <mergeCell ref="K1026:K1027"/>
    <mergeCell ref="A1028:B1028"/>
    <mergeCell ref="A1029:F1029"/>
    <mergeCell ref="A1022:B1022"/>
    <mergeCell ref="A1023:B1023"/>
    <mergeCell ref="A1024:K1024"/>
    <mergeCell ref="A1025:B1025"/>
    <mergeCell ref="A1026:B1027"/>
    <mergeCell ref="C1026:C1027"/>
    <mergeCell ref="D1026:D1027"/>
    <mergeCell ref="E1026:E1027"/>
    <mergeCell ref="F1026:F1027"/>
    <mergeCell ref="G1026:G1027"/>
    <mergeCell ref="A1018:B1018"/>
    <mergeCell ref="A1019:B1019"/>
    <mergeCell ref="G1019:G1021"/>
    <mergeCell ref="H1019:H1021"/>
    <mergeCell ref="A1020:B1020"/>
    <mergeCell ref="A1021:B1021"/>
    <mergeCell ref="I1013:I1014"/>
    <mergeCell ref="J1013:J1014"/>
    <mergeCell ref="K1013:K1014"/>
    <mergeCell ref="A1015:B1015"/>
    <mergeCell ref="A1016:F1016"/>
    <mergeCell ref="A1017:B1017"/>
    <mergeCell ref="A1008:K1008"/>
    <mergeCell ref="A1011:K1011"/>
    <mergeCell ref="A1012:K1012"/>
    <mergeCell ref="A1013:B1014"/>
    <mergeCell ref="C1013:C1014"/>
    <mergeCell ref="D1013:D1014"/>
    <mergeCell ref="E1013:E1014"/>
    <mergeCell ref="F1013:F1014"/>
    <mergeCell ref="G1013:G1014"/>
    <mergeCell ref="H1013:H1014"/>
    <mergeCell ref="H990:H992"/>
    <mergeCell ref="A991:B991"/>
    <mergeCell ref="A992:B992"/>
    <mergeCell ref="A1004:K1004"/>
    <mergeCell ref="A1005:K1005"/>
    <mergeCell ref="A1006:K1006"/>
    <mergeCell ref="A987:B987"/>
    <mergeCell ref="A988:B988"/>
    <mergeCell ref="A989:B989"/>
    <mergeCell ref="A990:B990"/>
    <mergeCell ref="F990:F992"/>
    <mergeCell ref="G990:G992"/>
    <mergeCell ref="A981:B981"/>
    <mergeCell ref="A982:B982"/>
    <mergeCell ref="F982:F983"/>
    <mergeCell ref="G982:G986"/>
    <mergeCell ref="H982:H986"/>
    <mergeCell ref="A983:B983"/>
    <mergeCell ref="A984:B984"/>
    <mergeCell ref="F984:F985"/>
    <mergeCell ref="A985:B985"/>
    <mergeCell ref="A986:B986"/>
    <mergeCell ref="A975:B975"/>
    <mergeCell ref="G975:G980"/>
    <mergeCell ref="H975:H980"/>
    <mergeCell ref="A976:B976"/>
    <mergeCell ref="A977:B977"/>
    <mergeCell ref="A978:B978"/>
    <mergeCell ref="A979:B979"/>
    <mergeCell ref="A980:B980"/>
    <mergeCell ref="H971:H972"/>
    <mergeCell ref="I971:I972"/>
    <mergeCell ref="J971:J972"/>
    <mergeCell ref="K971:K972"/>
    <mergeCell ref="A973:B973"/>
    <mergeCell ref="A974:F974"/>
    <mergeCell ref="A964:K964"/>
    <mergeCell ref="A966:K966"/>
    <mergeCell ref="A969:K969"/>
    <mergeCell ref="A970:K970"/>
    <mergeCell ref="A971:B972"/>
    <mergeCell ref="C971:C972"/>
    <mergeCell ref="D971:D972"/>
    <mergeCell ref="E971:E972"/>
    <mergeCell ref="F971:F972"/>
    <mergeCell ref="G971:G972"/>
    <mergeCell ref="A954:B954"/>
    <mergeCell ref="A955:B955"/>
    <mergeCell ref="A956:B956"/>
    <mergeCell ref="A957:B957"/>
    <mergeCell ref="A962:K962"/>
    <mergeCell ref="A963:K963"/>
    <mergeCell ref="A948:B948"/>
    <mergeCell ref="A949:B949"/>
    <mergeCell ref="G949:G953"/>
    <mergeCell ref="H949:H953"/>
    <mergeCell ref="A950:B950"/>
    <mergeCell ref="A951:B951"/>
    <mergeCell ref="F951:F953"/>
    <mergeCell ref="A952:B952"/>
    <mergeCell ref="A953:B953"/>
    <mergeCell ref="I943:I944"/>
    <mergeCell ref="J943:J944"/>
    <mergeCell ref="K943:K944"/>
    <mergeCell ref="A945:B945"/>
    <mergeCell ref="A946:F946"/>
    <mergeCell ref="A947:B947"/>
    <mergeCell ref="H940:H941"/>
    <mergeCell ref="A941:B941"/>
    <mergeCell ref="A942:B942"/>
    <mergeCell ref="A943:B944"/>
    <mergeCell ref="C943:C944"/>
    <mergeCell ref="D943:D944"/>
    <mergeCell ref="E943:E944"/>
    <mergeCell ref="F943:F944"/>
    <mergeCell ref="G943:G944"/>
    <mergeCell ref="H943:H944"/>
    <mergeCell ref="A937:B937"/>
    <mergeCell ref="A938:B938"/>
    <mergeCell ref="A939:B939"/>
    <mergeCell ref="A940:B940"/>
    <mergeCell ref="F940:F941"/>
    <mergeCell ref="G940:G941"/>
    <mergeCell ref="A933:B933"/>
    <mergeCell ref="F933:F934"/>
    <mergeCell ref="A934:B934"/>
    <mergeCell ref="A935:B935"/>
    <mergeCell ref="F935:F936"/>
    <mergeCell ref="A936:B936"/>
    <mergeCell ref="I927:I928"/>
    <mergeCell ref="J927:J928"/>
    <mergeCell ref="K927:K928"/>
    <mergeCell ref="A929:B929"/>
    <mergeCell ref="A930:B930"/>
    <mergeCell ref="A931:B931"/>
    <mergeCell ref="F931:F932"/>
    <mergeCell ref="G931:G936"/>
    <mergeCell ref="H931:H936"/>
    <mergeCell ref="A932:B932"/>
    <mergeCell ref="A922:K922"/>
    <mergeCell ref="A925:K925"/>
    <mergeCell ref="A926:K926"/>
    <mergeCell ref="A927:B928"/>
    <mergeCell ref="C927:C928"/>
    <mergeCell ref="D927:D928"/>
    <mergeCell ref="E927:E928"/>
    <mergeCell ref="F927:F928"/>
    <mergeCell ref="G927:G928"/>
    <mergeCell ref="H927:H928"/>
    <mergeCell ref="H912:H913"/>
    <mergeCell ref="A913:B913"/>
    <mergeCell ref="A914:K914"/>
    <mergeCell ref="A918:K918"/>
    <mergeCell ref="A919:K919"/>
    <mergeCell ref="A920:K920"/>
    <mergeCell ref="A909:B909"/>
    <mergeCell ref="A910:B910"/>
    <mergeCell ref="A911:B911"/>
    <mergeCell ref="A912:B912"/>
    <mergeCell ref="F912:F913"/>
    <mergeCell ref="G912:G913"/>
    <mergeCell ref="A904:B904"/>
    <mergeCell ref="A905:B905"/>
    <mergeCell ref="G905:G908"/>
    <mergeCell ref="H905:H908"/>
    <mergeCell ref="A906:B906"/>
    <mergeCell ref="A907:B907"/>
    <mergeCell ref="F907:F908"/>
    <mergeCell ref="A908:B908"/>
    <mergeCell ref="G901:G902"/>
    <mergeCell ref="H901:H902"/>
    <mergeCell ref="I901:I902"/>
    <mergeCell ref="J901:J902"/>
    <mergeCell ref="K901:K902"/>
    <mergeCell ref="A903:B903"/>
    <mergeCell ref="A900:B900"/>
    <mergeCell ref="A901:B902"/>
    <mergeCell ref="C901:C902"/>
    <mergeCell ref="D901:D902"/>
    <mergeCell ref="E901:E902"/>
    <mergeCell ref="F901:F902"/>
    <mergeCell ref="A897:B897"/>
    <mergeCell ref="A898:B898"/>
    <mergeCell ref="F898:F899"/>
    <mergeCell ref="G898:G899"/>
    <mergeCell ref="H898:H899"/>
    <mergeCell ref="A899:B899"/>
    <mergeCell ref="A892:B892"/>
    <mergeCell ref="F892:F894"/>
    <mergeCell ref="A893:B893"/>
    <mergeCell ref="A894:B894"/>
    <mergeCell ref="A895:B895"/>
    <mergeCell ref="A896:B896"/>
    <mergeCell ref="J885:J886"/>
    <mergeCell ref="K885:K886"/>
    <mergeCell ref="A887:B887"/>
    <mergeCell ref="A888:B888"/>
    <mergeCell ref="A889:B889"/>
    <mergeCell ref="F889:F890"/>
    <mergeCell ref="G889:G894"/>
    <mergeCell ref="H889:H894"/>
    <mergeCell ref="A890:B890"/>
    <mergeCell ref="A891:B891"/>
    <mergeCell ref="A883:K883"/>
    <mergeCell ref="A884:K884"/>
    <mergeCell ref="A885:B886"/>
    <mergeCell ref="C885:C886"/>
    <mergeCell ref="D885:D886"/>
    <mergeCell ref="E885:E886"/>
    <mergeCell ref="F885:F886"/>
    <mergeCell ref="G885:G886"/>
    <mergeCell ref="H885:H886"/>
    <mergeCell ref="I885:I886"/>
    <mergeCell ref="A872:B872"/>
    <mergeCell ref="A873:B873"/>
    <mergeCell ref="A876:K876"/>
    <mergeCell ref="A877:K877"/>
    <mergeCell ref="A878:K878"/>
    <mergeCell ref="A880:K880"/>
    <mergeCell ref="J865:J866"/>
    <mergeCell ref="K865:K866"/>
    <mergeCell ref="A867:B867"/>
    <mergeCell ref="A868:B868"/>
    <mergeCell ref="A869:B869"/>
    <mergeCell ref="G869:G871"/>
    <mergeCell ref="H869:H871"/>
    <mergeCell ref="A870:B870"/>
    <mergeCell ref="A871:B871"/>
    <mergeCell ref="A864:B864"/>
    <mergeCell ref="A865:B866"/>
    <mergeCell ref="C865:C866"/>
    <mergeCell ref="D865:D866"/>
    <mergeCell ref="E865:E866"/>
    <mergeCell ref="F865:F866"/>
    <mergeCell ref="G865:G866"/>
    <mergeCell ref="H865:H866"/>
    <mergeCell ref="I865:I866"/>
    <mergeCell ref="A859:B859"/>
    <mergeCell ref="A860:B860"/>
    <mergeCell ref="A861:B861"/>
    <mergeCell ref="F862:F863"/>
    <mergeCell ref="G862:G863"/>
    <mergeCell ref="H862:H863"/>
    <mergeCell ref="K849:K850"/>
    <mergeCell ref="A851:B851"/>
    <mergeCell ref="A852:B852"/>
    <mergeCell ref="G853:G858"/>
    <mergeCell ref="H853:H858"/>
    <mergeCell ref="F854:F855"/>
    <mergeCell ref="F857:F858"/>
    <mergeCell ref="A853:B853"/>
    <mergeCell ref="A854:B854"/>
    <mergeCell ref="A855:B855"/>
    <mergeCell ref="A856:B856"/>
    <mergeCell ref="A857:B857"/>
    <mergeCell ref="A858:B858"/>
    <mergeCell ref="A862:B862"/>
    <mergeCell ref="A863:B863"/>
    <mergeCell ref="A848:K848"/>
    <mergeCell ref="A849:B850"/>
    <mergeCell ref="C849:C850"/>
    <mergeCell ref="D849:D850"/>
    <mergeCell ref="E849:E850"/>
    <mergeCell ref="F849:F850"/>
    <mergeCell ref="G849:G850"/>
    <mergeCell ref="H849:H850"/>
    <mergeCell ref="I849:I850"/>
    <mergeCell ref="J849:J850"/>
    <mergeCell ref="A838:K838"/>
    <mergeCell ref="A840:K840"/>
    <mergeCell ref="A841:K841"/>
    <mergeCell ref="A842:K842"/>
    <mergeCell ref="A844:K844"/>
    <mergeCell ref="A847:K847"/>
    <mergeCell ref="A834:B834"/>
    <mergeCell ref="A835:B835"/>
    <mergeCell ref="F835:F837"/>
    <mergeCell ref="G835:G837"/>
    <mergeCell ref="H835:H837"/>
    <mergeCell ref="A836:B836"/>
    <mergeCell ref="A837:B837"/>
    <mergeCell ref="F828:F831"/>
    <mergeCell ref="A829:B829"/>
    <mergeCell ref="A830:B830"/>
    <mergeCell ref="A831:B831"/>
    <mergeCell ref="A832:B832"/>
    <mergeCell ref="A833:B833"/>
    <mergeCell ref="A823:B823"/>
    <mergeCell ref="F823:F824"/>
    <mergeCell ref="G823:G831"/>
    <mergeCell ref="H823:H831"/>
    <mergeCell ref="A824:B824"/>
    <mergeCell ref="A825:B825"/>
    <mergeCell ref="F825:F827"/>
    <mergeCell ref="A826:B826"/>
    <mergeCell ref="A827:B827"/>
    <mergeCell ref="A828:B828"/>
    <mergeCell ref="H819:H820"/>
    <mergeCell ref="I819:I820"/>
    <mergeCell ref="J819:J820"/>
    <mergeCell ref="K819:K820"/>
    <mergeCell ref="A821:B821"/>
    <mergeCell ref="A822:B822"/>
    <mergeCell ref="A812:K812"/>
    <mergeCell ref="A814:K814"/>
    <mergeCell ref="A817:K817"/>
    <mergeCell ref="A818:K818"/>
    <mergeCell ref="A819:B820"/>
    <mergeCell ref="C819:C820"/>
    <mergeCell ref="D819:D820"/>
    <mergeCell ref="E819:E820"/>
    <mergeCell ref="F819:F820"/>
    <mergeCell ref="G819:G820"/>
    <mergeCell ref="A805:B805"/>
    <mergeCell ref="A806:B806"/>
    <mergeCell ref="A807:B807"/>
    <mergeCell ref="A808:B808"/>
    <mergeCell ref="A810:K810"/>
    <mergeCell ref="A811:K811"/>
    <mergeCell ref="K797:K798"/>
    <mergeCell ref="A799:B799"/>
    <mergeCell ref="A800:B800"/>
    <mergeCell ref="A801:B801"/>
    <mergeCell ref="G801:G806"/>
    <mergeCell ref="H801:H806"/>
    <mergeCell ref="A802:B802"/>
    <mergeCell ref="A803:B803"/>
    <mergeCell ref="A804:B804"/>
    <mergeCell ref="F804:F806"/>
    <mergeCell ref="E797:E798"/>
    <mergeCell ref="F797:F798"/>
    <mergeCell ref="G797:G798"/>
    <mergeCell ref="H797:H798"/>
    <mergeCell ref="I797:I798"/>
    <mergeCell ref="J797:J798"/>
    <mergeCell ref="A794:B794"/>
    <mergeCell ref="A795:B795"/>
    <mergeCell ref="A796:B796"/>
    <mergeCell ref="A797:B798"/>
    <mergeCell ref="C797:C798"/>
    <mergeCell ref="D797:D798"/>
    <mergeCell ref="A790:B790"/>
    <mergeCell ref="A791:B791"/>
    <mergeCell ref="G791:G793"/>
    <mergeCell ref="H791:H793"/>
    <mergeCell ref="A792:B792"/>
    <mergeCell ref="A793:B793"/>
    <mergeCell ref="G787:G788"/>
    <mergeCell ref="H787:H788"/>
    <mergeCell ref="I787:I788"/>
    <mergeCell ref="J787:J788"/>
    <mergeCell ref="K787:K788"/>
    <mergeCell ref="A789:B789"/>
    <mergeCell ref="A786:B786"/>
    <mergeCell ref="A787:B788"/>
    <mergeCell ref="C787:C788"/>
    <mergeCell ref="D787:D788"/>
    <mergeCell ref="E787:E788"/>
    <mergeCell ref="F787:F788"/>
    <mergeCell ref="A783:B783"/>
    <mergeCell ref="A784:B784"/>
    <mergeCell ref="F784:F785"/>
    <mergeCell ref="G784:G785"/>
    <mergeCell ref="H784:H785"/>
    <mergeCell ref="A785:B785"/>
    <mergeCell ref="A779:B779"/>
    <mergeCell ref="G779:G782"/>
    <mergeCell ref="H779:H782"/>
    <mergeCell ref="A780:B780"/>
    <mergeCell ref="A781:B781"/>
    <mergeCell ref="F781:F782"/>
    <mergeCell ref="A782:B782"/>
    <mergeCell ref="H775:H776"/>
    <mergeCell ref="I775:I776"/>
    <mergeCell ref="J775:J776"/>
    <mergeCell ref="K775:K776"/>
    <mergeCell ref="A777:B777"/>
    <mergeCell ref="A778:B778"/>
    <mergeCell ref="A775:B776"/>
    <mergeCell ref="C775:C776"/>
    <mergeCell ref="D775:D776"/>
    <mergeCell ref="E775:E776"/>
    <mergeCell ref="F775:F776"/>
    <mergeCell ref="G775:G776"/>
    <mergeCell ref="A766:K766"/>
    <mergeCell ref="A767:K767"/>
    <mergeCell ref="A768:K768"/>
    <mergeCell ref="A770:K770"/>
    <mergeCell ref="A773:K773"/>
    <mergeCell ref="A774:K774"/>
    <mergeCell ref="I758:I759"/>
    <mergeCell ref="J758:J759"/>
    <mergeCell ref="K758:K759"/>
    <mergeCell ref="A760:B760"/>
    <mergeCell ref="A761:B761"/>
    <mergeCell ref="A762:B762"/>
    <mergeCell ref="G762:G763"/>
    <mergeCell ref="H762:H763"/>
    <mergeCell ref="A763:B763"/>
    <mergeCell ref="C758:C759"/>
    <mergeCell ref="D758:D759"/>
    <mergeCell ref="E758:E759"/>
    <mergeCell ref="F758:F759"/>
    <mergeCell ref="G758:G759"/>
    <mergeCell ref="H758:H759"/>
    <mergeCell ref="A753:B753"/>
    <mergeCell ref="A754:B754"/>
    <mergeCell ref="A755:B755"/>
    <mergeCell ref="A756:B756"/>
    <mergeCell ref="A757:B757"/>
    <mergeCell ref="A758:B759"/>
    <mergeCell ref="A747:B747"/>
    <mergeCell ref="A748:B748"/>
    <mergeCell ref="G748:G752"/>
    <mergeCell ref="H748:H752"/>
    <mergeCell ref="A749:B749"/>
    <mergeCell ref="A750:B750"/>
    <mergeCell ref="F750:F752"/>
    <mergeCell ref="A751:B751"/>
    <mergeCell ref="A752:B752"/>
    <mergeCell ref="G744:G745"/>
    <mergeCell ref="H744:H745"/>
    <mergeCell ref="I744:I745"/>
    <mergeCell ref="J744:J745"/>
    <mergeCell ref="K744:K745"/>
    <mergeCell ref="A746:B746"/>
    <mergeCell ref="A743:B743"/>
    <mergeCell ref="A744:B745"/>
    <mergeCell ref="C744:C745"/>
    <mergeCell ref="D744:D745"/>
    <mergeCell ref="E744:E745"/>
    <mergeCell ref="F744:F745"/>
    <mergeCell ref="F737:F738"/>
    <mergeCell ref="A738:B738"/>
    <mergeCell ref="A739:B739"/>
    <mergeCell ref="A740:B740"/>
    <mergeCell ref="A741:B741"/>
    <mergeCell ref="A742:B742"/>
    <mergeCell ref="I731:I732"/>
    <mergeCell ref="J731:J732"/>
    <mergeCell ref="K731:K732"/>
    <mergeCell ref="A733:B733"/>
    <mergeCell ref="A734:B734"/>
    <mergeCell ref="A735:B735"/>
    <mergeCell ref="G735:G738"/>
    <mergeCell ref="H735:H738"/>
    <mergeCell ref="A736:B736"/>
    <mergeCell ref="A737:B737"/>
    <mergeCell ref="A726:K726"/>
    <mergeCell ref="A729:K729"/>
    <mergeCell ref="A730:K730"/>
    <mergeCell ref="A731:B732"/>
    <mergeCell ref="C731:C732"/>
    <mergeCell ref="D731:D732"/>
    <mergeCell ref="E731:E732"/>
    <mergeCell ref="F731:F732"/>
    <mergeCell ref="G731:G732"/>
    <mergeCell ref="H731:H732"/>
    <mergeCell ref="H706:H707"/>
    <mergeCell ref="A707:B707"/>
    <mergeCell ref="A708:K708"/>
    <mergeCell ref="A722:K722"/>
    <mergeCell ref="A723:K723"/>
    <mergeCell ref="A724:K724"/>
    <mergeCell ref="A703:B703"/>
    <mergeCell ref="A704:B704"/>
    <mergeCell ref="A705:B705"/>
    <mergeCell ref="A706:B706"/>
    <mergeCell ref="F706:F707"/>
    <mergeCell ref="G706:G707"/>
    <mergeCell ref="A697:B697"/>
    <mergeCell ref="G697:G702"/>
    <mergeCell ref="H697:H702"/>
    <mergeCell ref="A698:B698"/>
    <mergeCell ref="A699:B699"/>
    <mergeCell ref="F699:F702"/>
    <mergeCell ref="A700:B700"/>
    <mergeCell ref="A701:B701"/>
    <mergeCell ref="A702:B702"/>
    <mergeCell ref="H693:H694"/>
    <mergeCell ref="I693:I694"/>
    <mergeCell ref="J693:J694"/>
    <mergeCell ref="K693:K694"/>
    <mergeCell ref="A695:B695"/>
    <mergeCell ref="A696:B696"/>
    <mergeCell ref="A686:K686"/>
    <mergeCell ref="A688:K688"/>
    <mergeCell ref="A691:K691"/>
    <mergeCell ref="A692:K692"/>
    <mergeCell ref="A693:B694"/>
    <mergeCell ref="C693:C694"/>
    <mergeCell ref="D693:D694"/>
    <mergeCell ref="E693:E694"/>
    <mergeCell ref="F693:F694"/>
    <mergeCell ref="G693:G694"/>
    <mergeCell ref="A673:B673"/>
    <mergeCell ref="A674:B674"/>
    <mergeCell ref="A675:I675"/>
    <mergeCell ref="A676:I676"/>
    <mergeCell ref="A684:K684"/>
    <mergeCell ref="A685:K685"/>
    <mergeCell ref="A667:B667"/>
    <mergeCell ref="F667:F670"/>
    <mergeCell ref="G667:G671"/>
    <mergeCell ref="H667:H671"/>
    <mergeCell ref="A668:B668"/>
    <mergeCell ref="A669:B669"/>
    <mergeCell ref="A670:B670"/>
    <mergeCell ref="A671:B671"/>
    <mergeCell ref="A662:B662"/>
    <mergeCell ref="F662:F666"/>
    <mergeCell ref="G662:G666"/>
    <mergeCell ref="H662:H666"/>
    <mergeCell ref="A663:B663"/>
    <mergeCell ref="A664:B664"/>
    <mergeCell ref="A665:B665"/>
    <mergeCell ref="A666:B666"/>
    <mergeCell ref="H657:H658"/>
    <mergeCell ref="A658:B658"/>
    <mergeCell ref="A659:B659"/>
    <mergeCell ref="A660:B660"/>
    <mergeCell ref="F660:F661"/>
    <mergeCell ref="G660:G661"/>
    <mergeCell ref="H660:H661"/>
    <mergeCell ref="A661:B661"/>
    <mergeCell ref="A654:B654"/>
    <mergeCell ref="A655:B655"/>
    <mergeCell ref="A656:B656"/>
    <mergeCell ref="A657:B657"/>
    <mergeCell ref="F657:F658"/>
    <mergeCell ref="G657:G658"/>
    <mergeCell ref="A648:B648"/>
    <mergeCell ref="A649:B649"/>
    <mergeCell ref="F649:F651"/>
    <mergeCell ref="G649:G653"/>
    <mergeCell ref="H649:H653"/>
    <mergeCell ref="A650:B650"/>
    <mergeCell ref="A651:B651"/>
    <mergeCell ref="A652:B652"/>
    <mergeCell ref="F652:F653"/>
    <mergeCell ref="A653:B653"/>
    <mergeCell ref="G645:G646"/>
    <mergeCell ref="H645:H646"/>
    <mergeCell ref="I645:I646"/>
    <mergeCell ref="J645:J646"/>
    <mergeCell ref="K645:K646"/>
    <mergeCell ref="A647:B647"/>
    <mergeCell ref="A637:K637"/>
    <mergeCell ref="A638:K638"/>
    <mergeCell ref="A640:K640"/>
    <mergeCell ref="A643:K643"/>
    <mergeCell ref="A644:K644"/>
    <mergeCell ref="A645:B646"/>
    <mergeCell ref="C645:C646"/>
    <mergeCell ref="D645:D646"/>
    <mergeCell ref="E645:E646"/>
    <mergeCell ref="F645:F646"/>
    <mergeCell ref="F620:F621"/>
    <mergeCell ref="G620:G621"/>
    <mergeCell ref="H620:H621"/>
    <mergeCell ref="A621:B621"/>
    <mergeCell ref="A622:K622"/>
    <mergeCell ref="A636:K636"/>
    <mergeCell ref="A615:B615"/>
    <mergeCell ref="A616:B616"/>
    <mergeCell ref="A617:B617"/>
    <mergeCell ref="A618:B618"/>
    <mergeCell ref="A619:B619"/>
    <mergeCell ref="A620:B620"/>
    <mergeCell ref="A608:B608"/>
    <mergeCell ref="A609:B609"/>
    <mergeCell ref="G609:G616"/>
    <mergeCell ref="H609:H616"/>
    <mergeCell ref="A610:B610"/>
    <mergeCell ref="A611:B611"/>
    <mergeCell ref="F611:F616"/>
    <mergeCell ref="A612:B612"/>
    <mergeCell ref="A613:B613"/>
    <mergeCell ref="A614:B614"/>
    <mergeCell ref="A604:B604"/>
    <mergeCell ref="F604:F607"/>
    <mergeCell ref="G604:G607"/>
    <mergeCell ref="H604:H607"/>
    <mergeCell ref="A605:B605"/>
    <mergeCell ref="A606:B606"/>
    <mergeCell ref="A607:B607"/>
    <mergeCell ref="H600:H601"/>
    <mergeCell ref="I600:I601"/>
    <mergeCell ref="J600:J601"/>
    <mergeCell ref="K600:K601"/>
    <mergeCell ref="A602:B602"/>
    <mergeCell ref="A603:F603"/>
    <mergeCell ref="A600:B601"/>
    <mergeCell ref="C600:C601"/>
    <mergeCell ref="D600:D601"/>
    <mergeCell ref="E600:E601"/>
    <mergeCell ref="F600:F601"/>
    <mergeCell ref="G600:G601"/>
    <mergeCell ref="A591:K591"/>
    <mergeCell ref="A592:K592"/>
    <mergeCell ref="A593:K593"/>
    <mergeCell ref="A595:K595"/>
    <mergeCell ref="A598:K598"/>
    <mergeCell ref="A599:K599"/>
    <mergeCell ref="A575:B575"/>
    <mergeCell ref="A576:B576"/>
    <mergeCell ref="F576:F578"/>
    <mergeCell ref="G576:G578"/>
    <mergeCell ref="H576:H578"/>
    <mergeCell ref="A577:B577"/>
    <mergeCell ref="A578:B578"/>
    <mergeCell ref="A569:B569"/>
    <mergeCell ref="A570:B570"/>
    <mergeCell ref="A571:B571"/>
    <mergeCell ref="F571:F573"/>
    <mergeCell ref="G571:G574"/>
    <mergeCell ref="H571:H574"/>
    <mergeCell ref="A572:B572"/>
    <mergeCell ref="A573:B573"/>
    <mergeCell ref="A574:B574"/>
    <mergeCell ref="F567:F568"/>
    <mergeCell ref="G567:G568"/>
    <mergeCell ref="H567:H568"/>
    <mergeCell ref="I567:I568"/>
    <mergeCell ref="J567:J568"/>
    <mergeCell ref="K567:K568"/>
    <mergeCell ref="A565:B565"/>
    <mergeCell ref="A566:B566"/>
    <mergeCell ref="A567:B568"/>
    <mergeCell ref="C567:C568"/>
    <mergeCell ref="D567:D568"/>
    <mergeCell ref="E567:E568"/>
    <mergeCell ref="A561:B561"/>
    <mergeCell ref="G561:G563"/>
    <mergeCell ref="H561:H563"/>
    <mergeCell ref="A562:B562"/>
    <mergeCell ref="A563:B563"/>
    <mergeCell ref="A564:B564"/>
    <mergeCell ref="H557:H558"/>
    <mergeCell ref="I557:I558"/>
    <mergeCell ref="J557:J558"/>
    <mergeCell ref="K557:K558"/>
    <mergeCell ref="A559:B559"/>
    <mergeCell ref="A560:B560"/>
    <mergeCell ref="A557:B558"/>
    <mergeCell ref="C557:C558"/>
    <mergeCell ref="D557:D558"/>
    <mergeCell ref="E557:E558"/>
    <mergeCell ref="F557:F558"/>
    <mergeCell ref="G557:G558"/>
    <mergeCell ref="A548:K548"/>
    <mergeCell ref="A549:K549"/>
    <mergeCell ref="A550:K550"/>
    <mergeCell ref="A552:K552"/>
    <mergeCell ref="A555:K555"/>
    <mergeCell ref="A556:K556"/>
    <mergeCell ref="A531:B531"/>
    <mergeCell ref="A532:B532"/>
    <mergeCell ref="A533:B533"/>
    <mergeCell ref="F533:F536"/>
    <mergeCell ref="G533:G536"/>
    <mergeCell ref="H533:H536"/>
    <mergeCell ref="A534:B534"/>
    <mergeCell ref="A535:B535"/>
    <mergeCell ref="A536:B536"/>
    <mergeCell ref="A525:B525"/>
    <mergeCell ref="A526:B526"/>
    <mergeCell ref="A527:B527"/>
    <mergeCell ref="A528:B528"/>
    <mergeCell ref="A529:B529"/>
    <mergeCell ref="A530:B530"/>
    <mergeCell ref="A518:B518"/>
    <mergeCell ref="A519:B519"/>
    <mergeCell ref="A520:B520"/>
    <mergeCell ref="G520:G529"/>
    <mergeCell ref="H520:H529"/>
    <mergeCell ref="A521:B521"/>
    <mergeCell ref="A522:B522"/>
    <mergeCell ref="F522:F529"/>
    <mergeCell ref="A523:B523"/>
    <mergeCell ref="A524:B524"/>
    <mergeCell ref="H514:H515"/>
    <mergeCell ref="I514:I515"/>
    <mergeCell ref="J514:J515"/>
    <mergeCell ref="K514:K515"/>
    <mergeCell ref="A516:B516"/>
    <mergeCell ref="A517:F517"/>
    <mergeCell ref="A514:B515"/>
    <mergeCell ref="C514:C515"/>
    <mergeCell ref="D514:D515"/>
    <mergeCell ref="E514:E515"/>
    <mergeCell ref="F514:F515"/>
    <mergeCell ref="G514:G515"/>
    <mergeCell ref="A505:K505"/>
    <mergeCell ref="A506:K506"/>
    <mergeCell ref="A507:K507"/>
    <mergeCell ref="A509:K509"/>
    <mergeCell ref="A512:K512"/>
    <mergeCell ref="A513:K513"/>
    <mergeCell ref="A498:B498"/>
    <mergeCell ref="A499:B499"/>
    <mergeCell ref="G499:G502"/>
    <mergeCell ref="H499:H502"/>
    <mergeCell ref="A500:B500"/>
    <mergeCell ref="F500:F502"/>
    <mergeCell ref="A501:B501"/>
    <mergeCell ref="A502:B502"/>
    <mergeCell ref="I493:I494"/>
    <mergeCell ref="J493:J494"/>
    <mergeCell ref="K493:K494"/>
    <mergeCell ref="A495:B495"/>
    <mergeCell ref="A496:B496"/>
    <mergeCell ref="A497:B497"/>
    <mergeCell ref="C493:C494"/>
    <mergeCell ref="D493:D494"/>
    <mergeCell ref="E493:E494"/>
    <mergeCell ref="F493:F494"/>
    <mergeCell ref="G493:G494"/>
    <mergeCell ref="H493:H494"/>
    <mergeCell ref="A488:B488"/>
    <mergeCell ref="A489:B489"/>
    <mergeCell ref="A490:B490"/>
    <mergeCell ref="A491:B491"/>
    <mergeCell ref="A492:B492"/>
    <mergeCell ref="A493:B494"/>
    <mergeCell ref="A483:B483"/>
    <mergeCell ref="G483:G487"/>
    <mergeCell ref="H483:H487"/>
    <mergeCell ref="A484:B484"/>
    <mergeCell ref="A485:B485"/>
    <mergeCell ref="A486:B486"/>
    <mergeCell ref="F486:F487"/>
    <mergeCell ref="A487:B487"/>
    <mergeCell ref="H479:H480"/>
    <mergeCell ref="I479:I480"/>
    <mergeCell ref="J479:J480"/>
    <mergeCell ref="K479:K480"/>
    <mergeCell ref="A481:B481"/>
    <mergeCell ref="A482:B482"/>
    <mergeCell ref="A479:B480"/>
    <mergeCell ref="C479:C480"/>
    <mergeCell ref="D479:D480"/>
    <mergeCell ref="E479:E480"/>
    <mergeCell ref="F479:F480"/>
    <mergeCell ref="G479:G480"/>
    <mergeCell ref="A470:K470"/>
    <mergeCell ref="A471:K471"/>
    <mergeCell ref="A472:K472"/>
    <mergeCell ref="A474:K474"/>
    <mergeCell ref="A477:K477"/>
    <mergeCell ref="A478:K478"/>
    <mergeCell ref="A453:B453"/>
    <mergeCell ref="A454:B454"/>
    <mergeCell ref="A455:B455"/>
    <mergeCell ref="F455:F458"/>
    <mergeCell ref="G455:G458"/>
    <mergeCell ref="H455:H458"/>
    <mergeCell ref="A456:B456"/>
    <mergeCell ref="A457:B457"/>
    <mergeCell ref="A458:B458"/>
    <mergeCell ref="A447:B447"/>
    <mergeCell ref="A448:B448"/>
    <mergeCell ref="A449:B449"/>
    <mergeCell ref="A450:B450"/>
    <mergeCell ref="A451:B451"/>
    <mergeCell ref="A452:B452"/>
    <mergeCell ref="A440:B440"/>
    <mergeCell ref="A441:B441"/>
    <mergeCell ref="A442:B442"/>
    <mergeCell ref="G442:G451"/>
    <mergeCell ref="H442:H451"/>
    <mergeCell ref="A443:B443"/>
    <mergeCell ref="A444:B444"/>
    <mergeCell ref="F444:F451"/>
    <mergeCell ref="A445:B445"/>
    <mergeCell ref="A446:B446"/>
    <mergeCell ref="H436:H437"/>
    <mergeCell ref="I436:I437"/>
    <mergeCell ref="J436:J437"/>
    <mergeCell ref="K436:K437"/>
    <mergeCell ref="A438:B438"/>
    <mergeCell ref="A439:F439"/>
    <mergeCell ref="A429:K429"/>
    <mergeCell ref="A431:K431"/>
    <mergeCell ref="A434:K434"/>
    <mergeCell ref="A435:K435"/>
    <mergeCell ref="A436:B437"/>
    <mergeCell ref="C436:C437"/>
    <mergeCell ref="D436:D437"/>
    <mergeCell ref="E436:E437"/>
    <mergeCell ref="F436:F437"/>
    <mergeCell ref="G436:G437"/>
    <mergeCell ref="A418:B418"/>
    <mergeCell ref="A419:B419"/>
    <mergeCell ref="A420:B420"/>
    <mergeCell ref="A421:B421"/>
    <mergeCell ref="A427:K427"/>
    <mergeCell ref="A428:K428"/>
    <mergeCell ref="A414:B414"/>
    <mergeCell ref="A415:B415"/>
    <mergeCell ref="G415:G417"/>
    <mergeCell ref="H415:H417"/>
    <mergeCell ref="A416:B416"/>
    <mergeCell ref="A417:B417"/>
    <mergeCell ref="I409:I410"/>
    <mergeCell ref="J409:J410"/>
    <mergeCell ref="K409:K410"/>
    <mergeCell ref="A411:B411"/>
    <mergeCell ref="A412:F412"/>
    <mergeCell ref="A413:B413"/>
    <mergeCell ref="H406:H407"/>
    <mergeCell ref="A407:B407"/>
    <mergeCell ref="A408:B408"/>
    <mergeCell ref="A409:B410"/>
    <mergeCell ref="C409:C410"/>
    <mergeCell ref="D409:D410"/>
    <mergeCell ref="E409:E410"/>
    <mergeCell ref="F409:F410"/>
    <mergeCell ref="G409:G410"/>
    <mergeCell ref="H409:H410"/>
    <mergeCell ref="A403:B403"/>
    <mergeCell ref="A404:B404"/>
    <mergeCell ref="A405:B405"/>
    <mergeCell ref="A406:B406"/>
    <mergeCell ref="F406:F407"/>
    <mergeCell ref="G406:G407"/>
    <mergeCell ref="A398:B398"/>
    <mergeCell ref="G398:G402"/>
    <mergeCell ref="H398:H402"/>
    <mergeCell ref="A399:B399"/>
    <mergeCell ref="A400:B400"/>
    <mergeCell ref="F400:F402"/>
    <mergeCell ref="A401:B401"/>
    <mergeCell ref="A402:B402"/>
    <mergeCell ref="H394:H395"/>
    <mergeCell ref="I394:I395"/>
    <mergeCell ref="J394:J395"/>
    <mergeCell ref="K394:K395"/>
    <mergeCell ref="A396:B396"/>
    <mergeCell ref="A397:B397"/>
    <mergeCell ref="A387:K387"/>
    <mergeCell ref="A389:K389"/>
    <mergeCell ref="A392:K392"/>
    <mergeCell ref="A393:K393"/>
    <mergeCell ref="A394:B395"/>
    <mergeCell ref="C394:C395"/>
    <mergeCell ref="D394:D395"/>
    <mergeCell ref="E394:E395"/>
    <mergeCell ref="F394:F395"/>
    <mergeCell ref="G394:G395"/>
    <mergeCell ref="A377:B377"/>
    <mergeCell ref="A378:B378"/>
    <mergeCell ref="A379:B379"/>
    <mergeCell ref="A380:B380"/>
    <mergeCell ref="A385:K385"/>
    <mergeCell ref="A386:K386"/>
    <mergeCell ref="F369:F372"/>
    <mergeCell ref="A370:B370"/>
    <mergeCell ref="A371:B371"/>
    <mergeCell ref="A372:B372"/>
    <mergeCell ref="A373:B373"/>
    <mergeCell ref="F373:F376"/>
    <mergeCell ref="A374:B374"/>
    <mergeCell ref="A375:B375"/>
    <mergeCell ref="A376:B376"/>
    <mergeCell ref="K361:K362"/>
    <mergeCell ref="A363:B363"/>
    <mergeCell ref="A364:F364"/>
    <mergeCell ref="A365:B365"/>
    <mergeCell ref="A366:B366"/>
    <mergeCell ref="A367:B367"/>
    <mergeCell ref="G367:G376"/>
    <mergeCell ref="H367:H376"/>
    <mergeCell ref="A368:B368"/>
    <mergeCell ref="A369:B369"/>
    <mergeCell ref="E361:E362"/>
    <mergeCell ref="F361:F362"/>
    <mergeCell ref="G361:G362"/>
    <mergeCell ref="H361:H362"/>
    <mergeCell ref="I361:I362"/>
    <mergeCell ref="J361:J362"/>
    <mergeCell ref="A358:B358"/>
    <mergeCell ref="A359:B359"/>
    <mergeCell ref="A360:B360"/>
    <mergeCell ref="A361:B362"/>
    <mergeCell ref="C361:C362"/>
    <mergeCell ref="D361:D362"/>
    <mergeCell ref="I351:I352"/>
    <mergeCell ref="J351:J352"/>
    <mergeCell ref="K351:K352"/>
    <mergeCell ref="A353:B353"/>
    <mergeCell ref="A354:B354"/>
    <mergeCell ref="A355:B355"/>
    <mergeCell ref="G355:G357"/>
    <mergeCell ref="H355:H357"/>
    <mergeCell ref="A356:B356"/>
    <mergeCell ref="A357:B357"/>
    <mergeCell ref="A346:K346"/>
    <mergeCell ref="A349:K349"/>
    <mergeCell ref="A350:K350"/>
    <mergeCell ref="A351:B352"/>
    <mergeCell ref="C351:C352"/>
    <mergeCell ref="D351:D352"/>
    <mergeCell ref="E351:E352"/>
    <mergeCell ref="F351:F352"/>
    <mergeCell ref="G351:G352"/>
    <mergeCell ref="H351:H352"/>
    <mergeCell ref="A337:B337"/>
    <mergeCell ref="A338:B338"/>
    <mergeCell ref="A339:B339"/>
    <mergeCell ref="A342:K342"/>
    <mergeCell ref="A343:K343"/>
    <mergeCell ref="A344:K344"/>
    <mergeCell ref="A331:B331"/>
    <mergeCell ref="A332:B332"/>
    <mergeCell ref="A333:B333"/>
    <mergeCell ref="F333:F334"/>
    <mergeCell ref="G333:G337"/>
    <mergeCell ref="H333:H337"/>
    <mergeCell ref="A334:B334"/>
    <mergeCell ref="A335:B335"/>
    <mergeCell ref="A336:B336"/>
    <mergeCell ref="F336:F337"/>
    <mergeCell ref="H327:H328"/>
    <mergeCell ref="I327:I328"/>
    <mergeCell ref="J327:J328"/>
    <mergeCell ref="K327:K328"/>
    <mergeCell ref="A329:B329"/>
    <mergeCell ref="A330:F330"/>
    <mergeCell ref="A323:B323"/>
    <mergeCell ref="A324:I324"/>
    <mergeCell ref="A325:I325"/>
    <mergeCell ref="A326:B326"/>
    <mergeCell ref="A327:B328"/>
    <mergeCell ref="C327:C328"/>
    <mergeCell ref="D327:D328"/>
    <mergeCell ref="E327:E328"/>
    <mergeCell ref="F327:F328"/>
    <mergeCell ref="G327:G328"/>
    <mergeCell ref="A317:B317"/>
    <mergeCell ref="A318:B318"/>
    <mergeCell ref="A319:B319"/>
    <mergeCell ref="A320:B320"/>
    <mergeCell ref="A321:B321"/>
    <mergeCell ref="A322:B322"/>
    <mergeCell ref="A311:B311"/>
    <mergeCell ref="A312:B312"/>
    <mergeCell ref="A313:B313"/>
    <mergeCell ref="A314:B314"/>
    <mergeCell ref="F314:F315"/>
    <mergeCell ref="A315:B315"/>
    <mergeCell ref="A305:B305"/>
    <mergeCell ref="G305:G315"/>
    <mergeCell ref="H305:H315"/>
    <mergeCell ref="A306:B306"/>
    <mergeCell ref="F306:F308"/>
    <mergeCell ref="A307:B307"/>
    <mergeCell ref="A308:B308"/>
    <mergeCell ref="A309:B309"/>
    <mergeCell ref="A310:B310"/>
    <mergeCell ref="F310:F313"/>
    <mergeCell ref="H301:H302"/>
    <mergeCell ref="I301:I302"/>
    <mergeCell ref="J301:J302"/>
    <mergeCell ref="K301:K302"/>
    <mergeCell ref="A303:B303"/>
    <mergeCell ref="A304:B304"/>
    <mergeCell ref="A301:B302"/>
    <mergeCell ref="C301:C302"/>
    <mergeCell ref="D301:D302"/>
    <mergeCell ref="E301:E302"/>
    <mergeCell ref="F301:F302"/>
    <mergeCell ref="G301:G302"/>
    <mergeCell ref="A292:K292"/>
    <mergeCell ref="A293:K293"/>
    <mergeCell ref="A294:K294"/>
    <mergeCell ref="A296:K296"/>
    <mergeCell ref="A299:K299"/>
    <mergeCell ref="A300:K300"/>
    <mergeCell ref="A284:B284"/>
    <mergeCell ref="A285:B285"/>
    <mergeCell ref="A286:B286"/>
    <mergeCell ref="A287:B287"/>
    <mergeCell ref="A288:B288"/>
    <mergeCell ref="A289:B289"/>
    <mergeCell ref="A277:F277"/>
    <mergeCell ref="A278:B278"/>
    <mergeCell ref="A279:B279"/>
    <mergeCell ref="A280:B280"/>
    <mergeCell ref="G280:G287"/>
    <mergeCell ref="H280:H287"/>
    <mergeCell ref="A281:B281"/>
    <mergeCell ref="A282:B282"/>
    <mergeCell ref="A283:B283"/>
    <mergeCell ref="F283:F287"/>
    <mergeCell ref="G274:G275"/>
    <mergeCell ref="H274:H275"/>
    <mergeCell ref="I274:I275"/>
    <mergeCell ref="J274:J275"/>
    <mergeCell ref="K274:K275"/>
    <mergeCell ref="A276:B276"/>
    <mergeCell ref="A266:K266"/>
    <mergeCell ref="A267:K267"/>
    <mergeCell ref="A269:K269"/>
    <mergeCell ref="A272:K272"/>
    <mergeCell ref="A273:K273"/>
    <mergeCell ref="A274:B275"/>
    <mergeCell ref="C274:C275"/>
    <mergeCell ref="D274:D275"/>
    <mergeCell ref="E274:E275"/>
    <mergeCell ref="F274:F275"/>
    <mergeCell ref="A260:B260"/>
    <mergeCell ref="F260:F261"/>
    <mergeCell ref="G260:G261"/>
    <mergeCell ref="H260:H261"/>
    <mergeCell ref="A261:B261"/>
    <mergeCell ref="A265:K265"/>
    <mergeCell ref="A254:B254"/>
    <mergeCell ref="A255:B255"/>
    <mergeCell ref="A256:B256"/>
    <mergeCell ref="A257:B257"/>
    <mergeCell ref="A258:B258"/>
    <mergeCell ref="A259:B259"/>
    <mergeCell ref="A246:B246"/>
    <mergeCell ref="A247:B247"/>
    <mergeCell ref="F247:F249"/>
    <mergeCell ref="A248:B248"/>
    <mergeCell ref="A249:B249"/>
    <mergeCell ref="A250:B250"/>
    <mergeCell ref="F250:F252"/>
    <mergeCell ref="A251:B251"/>
    <mergeCell ref="A252:B252"/>
    <mergeCell ref="A239:B239"/>
    <mergeCell ref="A240:B240"/>
    <mergeCell ref="G240:G252"/>
    <mergeCell ref="H240:H252"/>
    <mergeCell ref="A241:B241"/>
    <mergeCell ref="F241:F245"/>
    <mergeCell ref="A242:B242"/>
    <mergeCell ref="A243:B243"/>
    <mergeCell ref="A244:B244"/>
    <mergeCell ref="A245:B245"/>
    <mergeCell ref="G236:G237"/>
    <mergeCell ref="H236:H237"/>
    <mergeCell ref="I236:I237"/>
    <mergeCell ref="J236:J237"/>
    <mergeCell ref="K236:K237"/>
    <mergeCell ref="A238:B238"/>
    <mergeCell ref="A235:B235"/>
    <mergeCell ref="A236:B237"/>
    <mergeCell ref="C236:C237"/>
    <mergeCell ref="D236:D237"/>
    <mergeCell ref="E236:E237"/>
    <mergeCell ref="F236:F237"/>
    <mergeCell ref="A228:B228"/>
    <mergeCell ref="A229:B229"/>
    <mergeCell ref="A230:B230"/>
    <mergeCell ref="A231:B231"/>
    <mergeCell ref="A232:H232"/>
    <mergeCell ref="A233:H233"/>
    <mergeCell ref="A223:B223"/>
    <mergeCell ref="A224:B224"/>
    <mergeCell ref="G224:G226"/>
    <mergeCell ref="H224:H226"/>
    <mergeCell ref="A225:B225"/>
    <mergeCell ref="A226:B226"/>
    <mergeCell ref="I218:I219"/>
    <mergeCell ref="J218:J219"/>
    <mergeCell ref="K218:K219"/>
    <mergeCell ref="A220:B220"/>
    <mergeCell ref="A221:B221"/>
    <mergeCell ref="A222:B222"/>
    <mergeCell ref="A213:K213"/>
    <mergeCell ref="A216:K216"/>
    <mergeCell ref="A217:K217"/>
    <mergeCell ref="A218:B219"/>
    <mergeCell ref="C218:C219"/>
    <mergeCell ref="D218:D219"/>
    <mergeCell ref="E218:E219"/>
    <mergeCell ref="F218:F219"/>
    <mergeCell ref="G218:G219"/>
    <mergeCell ref="H218:H219"/>
    <mergeCell ref="B202:F202"/>
    <mergeCell ref="B203:F203"/>
    <mergeCell ref="B204:F204"/>
    <mergeCell ref="A209:K209"/>
    <mergeCell ref="A210:K210"/>
    <mergeCell ref="A211:K211"/>
    <mergeCell ref="B196:F196"/>
    <mergeCell ref="B197:F197"/>
    <mergeCell ref="B198:F198"/>
    <mergeCell ref="B199:F199"/>
    <mergeCell ref="B200:F200"/>
    <mergeCell ref="B201:F201"/>
    <mergeCell ref="B190:F190"/>
    <mergeCell ref="B191:F191"/>
    <mergeCell ref="B192:F192"/>
    <mergeCell ref="B193:F193"/>
    <mergeCell ref="B194:F194"/>
    <mergeCell ref="B195:F195"/>
    <mergeCell ref="B174:F174"/>
    <mergeCell ref="B175:F175"/>
    <mergeCell ref="B176:F176"/>
    <mergeCell ref="B177:F177"/>
    <mergeCell ref="B178:F178"/>
    <mergeCell ref="B179:F179"/>
    <mergeCell ref="B168:F168"/>
    <mergeCell ref="B169:F169"/>
    <mergeCell ref="B170:F170"/>
    <mergeCell ref="B171:F171"/>
    <mergeCell ref="B172:F172"/>
    <mergeCell ref="B173:F173"/>
    <mergeCell ref="A181:K181"/>
    <mergeCell ref="A182:K182"/>
    <mergeCell ref="A183:K183"/>
    <mergeCell ref="A185:K185"/>
    <mergeCell ref="A188:K188"/>
    <mergeCell ref="A189:K189"/>
    <mergeCell ref="B161:F161"/>
    <mergeCell ref="B162:F162"/>
    <mergeCell ref="B163:F163"/>
    <mergeCell ref="B164:F164"/>
    <mergeCell ref="B166:F166"/>
    <mergeCell ref="B167:F167"/>
    <mergeCell ref="B155:F155"/>
    <mergeCell ref="B156:F156"/>
    <mergeCell ref="B157:F157"/>
    <mergeCell ref="B158:F158"/>
    <mergeCell ref="B159:F159"/>
    <mergeCell ref="B160:F160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A133:K133"/>
    <mergeCell ref="A134:K134"/>
    <mergeCell ref="A135:A136"/>
    <mergeCell ref="B135:B136"/>
    <mergeCell ref="G135:G136"/>
    <mergeCell ref="H135:H136"/>
    <mergeCell ref="I135:I136"/>
    <mergeCell ref="J135:J136"/>
    <mergeCell ref="K135:K136"/>
    <mergeCell ref="B122:F122"/>
    <mergeCell ref="B123:F123"/>
    <mergeCell ref="A126:K126"/>
    <mergeCell ref="A127:K127"/>
    <mergeCell ref="A128:K128"/>
    <mergeCell ref="A130:K130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80:F80"/>
    <mergeCell ref="B81:F81"/>
    <mergeCell ref="B82:F82"/>
    <mergeCell ref="B83:F83"/>
    <mergeCell ref="B84:F84"/>
    <mergeCell ref="B85:F85"/>
    <mergeCell ref="B74:F74"/>
    <mergeCell ref="B75:F75"/>
    <mergeCell ref="B76:F76"/>
    <mergeCell ref="B77:F77"/>
    <mergeCell ref="B78:F78"/>
    <mergeCell ref="B79:F79"/>
    <mergeCell ref="A70:K70"/>
    <mergeCell ref="A71:K71"/>
    <mergeCell ref="A72:A73"/>
    <mergeCell ref="B72:B73"/>
    <mergeCell ref="G72:G73"/>
    <mergeCell ref="H72:H73"/>
    <mergeCell ref="I72:I73"/>
    <mergeCell ref="J72:J73"/>
    <mergeCell ref="K72:K73"/>
    <mergeCell ref="B60:F60"/>
    <mergeCell ref="B61:F61"/>
    <mergeCell ref="A63:K63"/>
    <mergeCell ref="A64:K64"/>
    <mergeCell ref="A65:K65"/>
    <mergeCell ref="A67:K67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K10:K11"/>
    <mergeCell ref="B12:F12"/>
    <mergeCell ref="B13:F13"/>
    <mergeCell ref="B14:F14"/>
    <mergeCell ref="B15:F15"/>
    <mergeCell ref="B17:F17"/>
    <mergeCell ref="A10:A11"/>
    <mergeCell ref="B10:B11"/>
    <mergeCell ref="G10:G11"/>
    <mergeCell ref="H10:H11"/>
    <mergeCell ref="I10:I11"/>
    <mergeCell ref="J10:J11"/>
    <mergeCell ref="A1:K1"/>
    <mergeCell ref="A2:K2"/>
    <mergeCell ref="A3:K3"/>
    <mergeCell ref="A5:K5"/>
    <mergeCell ref="A8:K8"/>
    <mergeCell ref="A9:K9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10" firstPageNumber="8" orientation="landscape" useFirstPageNumber="1" verticalDpi="300" r:id="rId1"/>
  <headerFooter alignWithMargins="0"/>
  <rowBreaks count="8" manualBreakCount="8">
    <brk id="62" max="10" man="1"/>
    <brk id="125" max="10" man="1"/>
    <brk id="180" max="10" man="1"/>
    <brk id="721" max="10" man="1"/>
    <brk id="765" max="10" man="1"/>
    <brk id="809" max="10" man="1"/>
    <brk id="839" max="10" man="1"/>
    <brk id="875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M1116"/>
  <sheetViews>
    <sheetView showGridLines="0" view="pageBreakPreview" zoomScale="22" zoomScaleNormal="30" zoomScaleSheetLayoutView="22" zoomScalePageLayoutView="25" workbookViewId="0">
      <selection activeCell="A10" sqref="A10:A11"/>
    </sheetView>
  </sheetViews>
  <sheetFormatPr defaultRowHeight="35.1" customHeight="1"/>
  <cols>
    <col min="1" max="1" width="122.28515625" style="41" customWidth="1"/>
    <col min="2" max="2" width="194.5703125" style="27" customWidth="1"/>
    <col min="3" max="3" width="101.140625" style="27" customWidth="1"/>
    <col min="4" max="4" width="43.140625" style="27" customWidth="1"/>
    <col min="5" max="5" width="235.5703125" style="27" customWidth="1"/>
    <col min="6" max="6" width="100.140625" style="11" customWidth="1"/>
    <col min="7" max="7" width="62.42578125" style="11" customWidth="1"/>
    <col min="8" max="8" width="63.140625" style="11" customWidth="1"/>
    <col min="9" max="9" width="87.7109375" style="11" customWidth="1"/>
    <col min="10" max="10" width="97.28515625" style="11" customWidth="1"/>
    <col min="11" max="11" width="86.5703125" style="11" customWidth="1"/>
    <col min="12" max="12" width="55" style="27" customWidth="1"/>
    <col min="13" max="13" width="53" style="27" bestFit="1" customWidth="1"/>
    <col min="14" max="14" width="9.140625" style="27"/>
    <col min="15" max="15" width="20.5703125" style="27" bestFit="1" customWidth="1"/>
    <col min="16" max="16384" width="9.140625" style="27"/>
  </cols>
  <sheetData>
    <row r="1" spans="1:11" ht="45">
      <c r="A1" s="979" t="s">
        <v>51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</row>
    <row r="2" spans="1:11" ht="45">
      <c r="A2" s="979" t="s">
        <v>52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</row>
    <row r="3" spans="1:11" ht="45">
      <c r="A3" s="1040" t="s">
        <v>50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</row>
    <row r="4" spans="1:11" ht="44.25">
      <c r="A4" s="736"/>
      <c r="B4" s="736"/>
      <c r="C4" s="736"/>
      <c r="D4" s="736"/>
      <c r="E4" s="736"/>
      <c r="F4" s="736"/>
      <c r="G4" s="838"/>
      <c r="H4" s="838"/>
      <c r="I4" s="838"/>
      <c r="J4" s="838"/>
      <c r="K4" s="838"/>
    </row>
    <row r="5" spans="1:11" ht="45">
      <c r="A5" s="979" t="s">
        <v>2214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</row>
    <row r="6" spans="1:11" s="620" customFormat="1" ht="33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1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1" ht="20.100000000000001" customHeight="1">
      <c r="A8" s="979"/>
      <c r="B8" s="979"/>
      <c r="C8" s="979"/>
      <c r="D8" s="979"/>
      <c r="E8" s="979"/>
      <c r="F8" s="979"/>
      <c r="G8" s="979"/>
      <c r="H8" s="979"/>
      <c r="I8" s="979"/>
      <c r="J8" s="979"/>
      <c r="K8" s="979"/>
    </row>
    <row r="9" spans="1:11" ht="45.75" customHeight="1">
      <c r="A9" s="1029" t="s">
        <v>2492</v>
      </c>
      <c r="B9" s="1030"/>
      <c r="C9" s="1030"/>
      <c r="D9" s="1030"/>
      <c r="E9" s="1030"/>
      <c r="F9" s="1030"/>
      <c r="G9" s="1030"/>
      <c r="H9" s="1030"/>
      <c r="I9" s="1030"/>
      <c r="J9" s="1030"/>
      <c r="K9" s="1030"/>
    </row>
    <row r="10" spans="1:11" s="904" customFormat="1" ht="65.25" customHeight="1">
      <c r="A10" s="1094" t="s">
        <v>183</v>
      </c>
      <c r="B10" s="1094" t="s">
        <v>209</v>
      </c>
      <c r="C10" s="886"/>
      <c r="D10" s="886"/>
      <c r="E10" s="886"/>
      <c r="F10" s="887"/>
      <c r="G10" s="1078" t="s">
        <v>440</v>
      </c>
      <c r="H10" s="1080" t="s">
        <v>16</v>
      </c>
      <c r="I10" s="1082" t="s">
        <v>1490</v>
      </c>
      <c r="J10" s="1082" t="s">
        <v>2507</v>
      </c>
      <c r="K10" s="1089" t="s">
        <v>200</v>
      </c>
    </row>
    <row r="11" spans="1:11" s="904" customFormat="1" ht="65.25" customHeight="1">
      <c r="A11" s="1095"/>
      <c r="B11" s="1095"/>
      <c r="C11" s="888"/>
      <c r="D11" s="888"/>
      <c r="E11" s="888"/>
      <c r="F11" s="889"/>
      <c r="G11" s="1079"/>
      <c r="H11" s="1081"/>
      <c r="I11" s="1082"/>
      <c r="J11" s="1082"/>
      <c r="K11" s="1090"/>
    </row>
    <row r="12" spans="1:11" s="872" customFormat="1" ht="65.25" customHeight="1">
      <c r="A12" s="890"/>
      <c r="B12" s="1091" t="s">
        <v>1970</v>
      </c>
      <c r="C12" s="1092"/>
      <c r="D12" s="1092"/>
      <c r="E12" s="1092"/>
      <c r="F12" s="1093"/>
      <c r="G12" s="891"/>
      <c r="H12" s="892"/>
      <c r="I12" s="871">
        <f>SUM(I13:I15)</f>
        <v>108133.20000000001</v>
      </c>
      <c r="J12" s="871">
        <f>SUM(J13:J15)</f>
        <v>72088.799999999988</v>
      </c>
      <c r="K12" s="871">
        <f t="shared" ref="K12:K61" si="0">I12+J12</f>
        <v>180222</v>
      </c>
    </row>
    <row r="13" spans="1:11" s="874" customFormat="1" ht="65.25" customHeight="1">
      <c r="A13" s="893" t="s">
        <v>2204</v>
      </c>
      <c r="B13" s="1083" t="s">
        <v>2205</v>
      </c>
      <c r="C13" s="1084"/>
      <c r="D13" s="1084"/>
      <c r="E13" s="1084"/>
      <c r="F13" s="1085"/>
      <c r="G13" s="894">
        <v>8100</v>
      </c>
      <c r="H13" s="895">
        <v>169711</v>
      </c>
      <c r="I13" s="873">
        <f>I724</f>
        <v>33599.4</v>
      </c>
      <c r="J13" s="873">
        <f>J724</f>
        <v>22399.599999999999</v>
      </c>
      <c r="K13" s="873">
        <f t="shared" si="0"/>
        <v>55999</v>
      </c>
    </row>
    <row r="14" spans="1:11" s="874" customFormat="1" ht="65.25" customHeight="1">
      <c r="A14" s="893" t="s">
        <v>193</v>
      </c>
      <c r="B14" s="1083" t="s">
        <v>1476</v>
      </c>
      <c r="C14" s="1084"/>
      <c r="D14" s="1084"/>
      <c r="E14" s="1084"/>
      <c r="F14" s="1085"/>
      <c r="G14" s="894">
        <v>8100</v>
      </c>
      <c r="H14" s="896" t="s">
        <v>2445</v>
      </c>
      <c r="I14" s="873">
        <f>I729</f>
        <v>3000</v>
      </c>
      <c r="J14" s="873">
        <f>J729</f>
        <v>2000</v>
      </c>
      <c r="K14" s="873">
        <f t="shared" si="0"/>
        <v>5000</v>
      </c>
    </row>
    <row r="15" spans="1:11" s="874" customFormat="1" ht="65.25" customHeight="1">
      <c r="A15" s="893" t="s">
        <v>194</v>
      </c>
      <c r="B15" s="1083" t="s">
        <v>199</v>
      </c>
      <c r="C15" s="1084"/>
      <c r="D15" s="1084"/>
      <c r="E15" s="1084"/>
      <c r="F15" s="1085"/>
      <c r="G15" s="894">
        <v>8100</v>
      </c>
      <c r="H15" s="895">
        <v>169711</v>
      </c>
      <c r="I15" s="873">
        <f>I731</f>
        <v>71533.8</v>
      </c>
      <c r="J15" s="873">
        <f>J731</f>
        <v>47689.2</v>
      </c>
      <c r="K15" s="873">
        <f t="shared" si="0"/>
        <v>119223</v>
      </c>
    </row>
    <row r="16" spans="1:11" s="872" customFormat="1" ht="65.25" customHeight="1">
      <c r="A16" s="890"/>
      <c r="B16" s="1086" t="s">
        <v>2116</v>
      </c>
      <c r="C16" s="1087"/>
      <c r="D16" s="1087"/>
      <c r="E16" s="1087"/>
      <c r="F16" s="1088"/>
      <c r="G16" s="891"/>
      <c r="H16" s="892"/>
      <c r="I16" s="871">
        <f>SUM(I17:I19)</f>
        <v>40920</v>
      </c>
      <c r="J16" s="871">
        <f>SUM(J17:J19)</f>
        <v>27280</v>
      </c>
      <c r="K16" s="871">
        <f t="shared" si="0"/>
        <v>68200</v>
      </c>
    </row>
    <row r="17" spans="1:11" s="874" customFormat="1" ht="65.25" customHeight="1">
      <c r="A17" s="893" t="s">
        <v>2204</v>
      </c>
      <c r="B17" s="1083" t="s">
        <v>2205</v>
      </c>
      <c r="C17" s="1084"/>
      <c r="D17" s="1084"/>
      <c r="E17" s="1084"/>
      <c r="F17" s="1085"/>
      <c r="G17" s="894">
        <v>8100</v>
      </c>
      <c r="H17" s="895">
        <v>169711</v>
      </c>
      <c r="I17" s="873">
        <f>I879</f>
        <v>32050.799999999999</v>
      </c>
      <c r="J17" s="873">
        <f>J879</f>
        <v>21367.200000000001</v>
      </c>
      <c r="K17" s="873">
        <f t="shared" si="0"/>
        <v>53418</v>
      </c>
    </row>
    <row r="18" spans="1:11" s="874" customFormat="1" ht="65.25" customHeight="1">
      <c r="A18" s="893" t="s">
        <v>193</v>
      </c>
      <c r="B18" s="1083" t="s">
        <v>1476</v>
      </c>
      <c r="C18" s="1084"/>
      <c r="D18" s="1084"/>
      <c r="E18" s="1084"/>
      <c r="F18" s="1085"/>
      <c r="G18" s="894">
        <v>8100</v>
      </c>
      <c r="H18" s="896" t="s">
        <v>2445</v>
      </c>
      <c r="I18" s="873">
        <f>I886</f>
        <v>2869.2</v>
      </c>
      <c r="J18" s="873">
        <f>J886</f>
        <v>1912.8</v>
      </c>
      <c r="K18" s="873">
        <f t="shared" si="0"/>
        <v>4782</v>
      </c>
    </row>
    <row r="19" spans="1:11" s="874" customFormat="1" ht="65.25" customHeight="1">
      <c r="A19" s="893" t="s">
        <v>244</v>
      </c>
      <c r="B19" s="1083" t="s">
        <v>266</v>
      </c>
      <c r="C19" s="1084"/>
      <c r="D19" s="1084"/>
      <c r="E19" s="1084"/>
      <c r="F19" s="1085"/>
      <c r="G19" s="894">
        <v>8100</v>
      </c>
      <c r="H19" s="895">
        <v>169711</v>
      </c>
      <c r="I19" s="873">
        <f>I888</f>
        <v>6000</v>
      </c>
      <c r="J19" s="873">
        <f>J888</f>
        <v>4000</v>
      </c>
      <c r="K19" s="873">
        <f t="shared" si="0"/>
        <v>10000</v>
      </c>
    </row>
    <row r="20" spans="1:11" s="872" customFormat="1" ht="65.25" customHeight="1">
      <c r="A20" s="890"/>
      <c r="B20" s="1086" t="s">
        <v>2191</v>
      </c>
      <c r="C20" s="1087"/>
      <c r="D20" s="1087"/>
      <c r="E20" s="1087"/>
      <c r="F20" s="1088"/>
      <c r="G20" s="891"/>
      <c r="H20" s="892"/>
      <c r="I20" s="871">
        <f>SUM(I21:I23)</f>
        <v>135962.4</v>
      </c>
      <c r="J20" s="871">
        <f>SUM(J21:J23)</f>
        <v>90641.600000000006</v>
      </c>
      <c r="K20" s="871">
        <f t="shared" si="0"/>
        <v>226604</v>
      </c>
    </row>
    <row r="21" spans="1:11" s="874" customFormat="1" ht="65.25" customHeight="1">
      <c r="A21" s="893" t="s">
        <v>2204</v>
      </c>
      <c r="B21" s="1083" t="s">
        <v>2205</v>
      </c>
      <c r="C21" s="1084"/>
      <c r="D21" s="1084"/>
      <c r="E21" s="1084"/>
      <c r="F21" s="1085"/>
      <c r="G21" s="894">
        <v>8100</v>
      </c>
      <c r="H21" s="895">
        <v>169711</v>
      </c>
      <c r="I21" s="873">
        <f>I895</f>
        <v>110462.39999999999</v>
      </c>
      <c r="J21" s="873">
        <f>J895</f>
        <v>73641.600000000006</v>
      </c>
      <c r="K21" s="873">
        <f t="shared" si="0"/>
        <v>184104</v>
      </c>
    </row>
    <row r="22" spans="1:11" s="874" customFormat="1" ht="65.25" customHeight="1">
      <c r="A22" s="893" t="s">
        <v>193</v>
      </c>
      <c r="B22" s="1083" t="s">
        <v>1476</v>
      </c>
      <c r="C22" s="1084"/>
      <c r="D22" s="1084"/>
      <c r="E22" s="1084"/>
      <c r="F22" s="1085"/>
      <c r="G22" s="894">
        <v>8100</v>
      </c>
      <c r="H22" s="896" t="s">
        <v>2445</v>
      </c>
      <c r="I22" s="873">
        <f>I900</f>
        <v>12000</v>
      </c>
      <c r="J22" s="873">
        <f>J900</f>
        <v>8000</v>
      </c>
      <c r="K22" s="873">
        <f t="shared" si="0"/>
        <v>20000</v>
      </c>
    </row>
    <row r="23" spans="1:11" s="874" customFormat="1" ht="65.25" customHeight="1">
      <c r="A23" s="893" t="s">
        <v>244</v>
      </c>
      <c r="B23" s="1083" t="s">
        <v>266</v>
      </c>
      <c r="C23" s="1084"/>
      <c r="D23" s="1084"/>
      <c r="E23" s="1084"/>
      <c r="F23" s="1085"/>
      <c r="G23" s="894">
        <v>8100</v>
      </c>
      <c r="H23" s="895">
        <v>169711</v>
      </c>
      <c r="I23" s="873">
        <f>I902</f>
        <v>13500</v>
      </c>
      <c r="J23" s="873">
        <f>J902</f>
        <v>9000</v>
      </c>
      <c r="K23" s="873">
        <f t="shared" si="0"/>
        <v>22500</v>
      </c>
    </row>
    <row r="24" spans="1:11" s="872" customFormat="1" ht="65.25" customHeight="1">
      <c r="A24" s="890"/>
      <c r="B24" s="1086" t="s">
        <v>1803</v>
      </c>
      <c r="C24" s="1087"/>
      <c r="D24" s="1087"/>
      <c r="E24" s="1087"/>
      <c r="F24" s="1088"/>
      <c r="G24" s="891"/>
      <c r="H24" s="892"/>
      <c r="I24" s="871">
        <f>SUM(I25:I27)</f>
        <v>148380</v>
      </c>
      <c r="J24" s="871">
        <f>SUM(J25:J27)</f>
        <v>98920</v>
      </c>
      <c r="K24" s="871">
        <f t="shared" si="0"/>
        <v>247300</v>
      </c>
    </row>
    <row r="25" spans="1:11" s="874" customFormat="1" ht="65.25" customHeight="1">
      <c r="A25" s="893" t="s">
        <v>2275</v>
      </c>
      <c r="B25" s="1083" t="s">
        <v>2212</v>
      </c>
      <c r="C25" s="1084"/>
      <c r="D25" s="1084"/>
      <c r="E25" s="1084"/>
      <c r="F25" s="1085"/>
      <c r="G25" s="894">
        <v>8100</v>
      </c>
      <c r="H25" s="895">
        <v>169711</v>
      </c>
      <c r="I25" s="873">
        <f>I267</f>
        <v>57310.799999999996</v>
      </c>
      <c r="J25" s="873">
        <f>J267</f>
        <v>38207.199999999997</v>
      </c>
      <c r="K25" s="873">
        <f t="shared" si="0"/>
        <v>95518</v>
      </c>
    </row>
    <row r="26" spans="1:11" s="874" customFormat="1" ht="65.25" customHeight="1">
      <c r="A26" s="893" t="s">
        <v>2204</v>
      </c>
      <c r="B26" s="1083" t="s">
        <v>2205</v>
      </c>
      <c r="C26" s="1084"/>
      <c r="D26" s="1084"/>
      <c r="E26" s="1084"/>
      <c r="F26" s="1085"/>
      <c r="G26" s="894">
        <v>8100</v>
      </c>
      <c r="H26" s="895">
        <v>169711</v>
      </c>
      <c r="I26" s="873">
        <f>I269</f>
        <v>74269.2</v>
      </c>
      <c r="J26" s="873">
        <f>J269</f>
        <v>49512.800000000003</v>
      </c>
      <c r="K26" s="873">
        <f t="shared" si="0"/>
        <v>123782</v>
      </c>
    </row>
    <row r="27" spans="1:11" s="874" customFormat="1" ht="65.25" customHeight="1">
      <c r="A27" s="893" t="s">
        <v>244</v>
      </c>
      <c r="B27" s="1083" t="s">
        <v>266</v>
      </c>
      <c r="C27" s="1084"/>
      <c r="D27" s="1084"/>
      <c r="E27" s="1084"/>
      <c r="F27" s="1085"/>
      <c r="G27" s="894">
        <v>8100</v>
      </c>
      <c r="H27" s="895">
        <v>169711</v>
      </c>
      <c r="I27" s="873">
        <f>I278</f>
        <v>16800</v>
      </c>
      <c r="J27" s="873">
        <f>J278</f>
        <v>11200</v>
      </c>
      <c r="K27" s="873">
        <f t="shared" si="0"/>
        <v>28000</v>
      </c>
    </row>
    <row r="28" spans="1:11" s="872" customFormat="1" ht="65.25" customHeight="1">
      <c r="A28" s="890"/>
      <c r="B28" s="1086" t="s">
        <v>1952</v>
      </c>
      <c r="C28" s="1087"/>
      <c r="D28" s="1087"/>
      <c r="E28" s="1087"/>
      <c r="F28" s="1088"/>
      <c r="G28" s="891"/>
      <c r="H28" s="892"/>
      <c r="I28" s="871">
        <f>SUM(I29:I31)</f>
        <v>66321</v>
      </c>
      <c r="J28" s="871">
        <f>SUM(J29:J31)</f>
        <v>44214</v>
      </c>
      <c r="K28" s="871">
        <f t="shared" si="0"/>
        <v>110535</v>
      </c>
    </row>
    <row r="29" spans="1:11" s="874" customFormat="1" ht="65.25" customHeight="1">
      <c r="A29" s="893" t="s">
        <v>2204</v>
      </c>
      <c r="B29" s="1083" t="s">
        <v>2205</v>
      </c>
      <c r="C29" s="1084"/>
      <c r="D29" s="1084"/>
      <c r="E29" s="1084"/>
      <c r="F29" s="1085"/>
      <c r="G29" s="894">
        <v>8100</v>
      </c>
      <c r="H29" s="895">
        <v>169711</v>
      </c>
      <c r="I29" s="873">
        <f>I737</f>
        <v>58341</v>
      </c>
      <c r="J29" s="873">
        <f>J737</f>
        <v>38894</v>
      </c>
      <c r="K29" s="873">
        <f t="shared" si="0"/>
        <v>97235</v>
      </c>
    </row>
    <row r="30" spans="1:11" s="874" customFormat="1" ht="65.25" customHeight="1">
      <c r="A30" s="893" t="s">
        <v>193</v>
      </c>
      <c r="B30" s="1083" t="s">
        <v>1476</v>
      </c>
      <c r="C30" s="1084"/>
      <c r="D30" s="1084"/>
      <c r="E30" s="1084"/>
      <c r="F30" s="1085"/>
      <c r="G30" s="894">
        <v>8100</v>
      </c>
      <c r="H30" s="896" t="s">
        <v>2445</v>
      </c>
      <c r="I30" s="873">
        <f>I743</f>
        <v>5580</v>
      </c>
      <c r="J30" s="873">
        <f>J743</f>
        <v>3720</v>
      </c>
      <c r="K30" s="873">
        <f t="shared" si="0"/>
        <v>9300</v>
      </c>
    </row>
    <row r="31" spans="1:11" s="874" customFormat="1" ht="65.25" customHeight="1">
      <c r="A31" s="893" t="s">
        <v>244</v>
      </c>
      <c r="B31" s="1083" t="s">
        <v>266</v>
      </c>
      <c r="C31" s="1084"/>
      <c r="D31" s="1084"/>
      <c r="E31" s="1084"/>
      <c r="F31" s="1085"/>
      <c r="G31" s="894">
        <v>8100</v>
      </c>
      <c r="H31" s="895">
        <v>169711</v>
      </c>
      <c r="I31" s="873">
        <f>I745</f>
        <v>2400</v>
      </c>
      <c r="J31" s="873">
        <f>J745</f>
        <v>1600</v>
      </c>
      <c r="K31" s="873">
        <f t="shared" si="0"/>
        <v>4000</v>
      </c>
    </row>
    <row r="32" spans="1:11" s="872" customFormat="1" ht="65.25" customHeight="1">
      <c r="A32" s="890"/>
      <c r="B32" s="1086" t="s">
        <v>2156</v>
      </c>
      <c r="C32" s="1087"/>
      <c r="D32" s="1087"/>
      <c r="E32" s="1087"/>
      <c r="F32" s="1088"/>
      <c r="G32" s="891"/>
      <c r="H32" s="892"/>
      <c r="I32" s="871">
        <f>SUM(I33:I35)</f>
        <v>44463</v>
      </c>
      <c r="J32" s="871">
        <f>SUM(J33:J35)</f>
        <v>29642</v>
      </c>
      <c r="K32" s="871">
        <f t="shared" si="0"/>
        <v>74105</v>
      </c>
    </row>
    <row r="33" spans="1:11" s="874" customFormat="1" ht="65.25" customHeight="1">
      <c r="A33" s="893" t="s">
        <v>2204</v>
      </c>
      <c r="B33" s="1083" t="s">
        <v>2205</v>
      </c>
      <c r="C33" s="1084"/>
      <c r="D33" s="1084"/>
      <c r="E33" s="1084"/>
      <c r="F33" s="1085"/>
      <c r="G33" s="894">
        <v>8100</v>
      </c>
      <c r="H33" s="895">
        <v>169711</v>
      </c>
      <c r="I33" s="873">
        <f>I919</f>
        <v>32463</v>
      </c>
      <c r="J33" s="873">
        <f>J919</f>
        <v>21642</v>
      </c>
      <c r="K33" s="873">
        <f t="shared" si="0"/>
        <v>54105</v>
      </c>
    </row>
    <row r="34" spans="1:11" s="874" customFormat="1" ht="65.25" customHeight="1">
      <c r="A34" s="893" t="s">
        <v>193</v>
      </c>
      <c r="B34" s="1083" t="s">
        <v>1476</v>
      </c>
      <c r="C34" s="1084"/>
      <c r="D34" s="1084"/>
      <c r="E34" s="1084"/>
      <c r="F34" s="1085"/>
      <c r="G34" s="894">
        <v>8100</v>
      </c>
      <c r="H34" s="896" t="s">
        <v>2445</v>
      </c>
      <c r="I34" s="873">
        <f>I926</f>
        <v>6000</v>
      </c>
      <c r="J34" s="873">
        <f>J926</f>
        <v>4000</v>
      </c>
      <c r="K34" s="873">
        <f t="shared" si="0"/>
        <v>10000</v>
      </c>
    </row>
    <row r="35" spans="1:11" s="874" customFormat="1" ht="65.25" customHeight="1">
      <c r="A35" s="893" t="s">
        <v>244</v>
      </c>
      <c r="B35" s="1083" t="s">
        <v>266</v>
      </c>
      <c r="C35" s="1084"/>
      <c r="D35" s="1084"/>
      <c r="E35" s="1084"/>
      <c r="F35" s="1085"/>
      <c r="G35" s="894">
        <v>8100</v>
      </c>
      <c r="H35" s="895">
        <v>169711</v>
      </c>
      <c r="I35" s="873">
        <f>I928</f>
        <v>6000</v>
      </c>
      <c r="J35" s="873">
        <f>J928</f>
        <v>4000</v>
      </c>
      <c r="K35" s="873">
        <f t="shared" si="0"/>
        <v>10000</v>
      </c>
    </row>
    <row r="36" spans="1:11" s="872" customFormat="1" ht="65.25" customHeight="1">
      <c r="A36" s="890"/>
      <c r="B36" s="1086" t="s">
        <v>1947</v>
      </c>
      <c r="C36" s="1087"/>
      <c r="D36" s="1087"/>
      <c r="E36" s="1087"/>
      <c r="F36" s="1088"/>
      <c r="G36" s="891"/>
      <c r="H36" s="892"/>
      <c r="I36" s="871">
        <f>SUM(I37:I37)</f>
        <v>41142.6</v>
      </c>
      <c r="J36" s="871">
        <f>SUM(J37:J37)</f>
        <v>27428.399999999998</v>
      </c>
      <c r="K36" s="871">
        <f t="shared" si="0"/>
        <v>68571</v>
      </c>
    </row>
    <row r="37" spans="1:11" s="874" customFormat="1" ht="65.25" customHeight="1">
      <c r="A37" s="893" t="s">
        <v>2204</v>
      </c>
      <c r="B37" s="1083" t="s">
        <v>2205</v>
      </c>
      <c r="C37" s="1084"/>
      <c r="D37" s="1084"/>
      <c r="E37" s="1084"/>
      <c r="F37" s="1085"/>
      <c r="G37" s="894">
        <v>8100</v>
      </c>
      <c r="H37" s="895">
        <v>169711</v>
      </c>
      <c r="I37" s="873">
        <f>I751</f>
        <v>41142.6</v>
      </c>
      <c r="J37" s="873">
        <f>J751</f>
        <v>27428.399999999998</v>
      </c>
      <c r="K37" s="873">
        <f t="shared" si="0"/>
        <v>68571</v>
      </c>
    </row>
    <row r="38" spans="1:11" s="872" customFormat="1" ht="65.25" customHeight="1">
      <c r="A38" s="890"/>
      <c r="B38" s="1086" t="s">
        <v>2030</v>
      </c>
      <c r="C38" s="1087"/>
      <c r="D38" s="1087"/>
      <c r="E38" s="1087"/>
      <c r="F38" s="1088"/>
      <c r="G38" s="891"/>
      <c r="H38" s="892"/>
      <c r="I38" s="871">
        <f>SUM(I39:I42)</f>
        <v>84009</v>
      </c>
      <c r="J38" s="871">
        <f>SUM(J39:J42)</f>
        <v>56006</v>
      </c>
      <c r="K38" s="871">
        <f t="shared" si="0"/>
        <v>140015</v>
      </c>
    </row>
    <row r="39" spans="1:11" s="874" customFormat="1" ht="65.25" customHeight="1">
      <c r="A39" s="893" t="s">
        <v>2275</v>
      </c>
      <c r="B39" s="1083" t="s">
        <v>2212</v>
      </c>
      <c r="C39" s="1084"/>
      <c r="D39" s="1084"/>
      <c r="E39" s="1084"/>
      <c r="F39" s="1085"/>
      <c r="G39" s="894">
        <v>8100</v>
      </c>
      <c r="H39" s="895">
        <v>169711</v>
      </c>
      <c r="I39" s="873">
        <f>I935</f>
        <v>19851</v>
      </c>
      <c r="J39" s="873">
        <f>J935</f>
        <v>13234</v>
      </c>
      <c r="K39" s="873">
        <f t="shared" si="0"/>
        <v>33085</v>
      </c>
    </row>
    <row r="40" spans="1:11" s="874" customFormat="1" ht="65.25" customHeight="1">
      <c r="A40" s="893" t="s">
        <v>2204</v>
      </c>
      <c r="B40" s="1083" t="s">
        <v>2205</v>
      </c>
      <c r="C40" s="1084"/>
      <c r="D40" s="1084"/>
      <c r="E40" s="1084"/>
      <c r="F40" s="1085"/>
      <c r="G40" s="894">
        <v>8100</v>
      </c>
      <c r="H40" s="895">
        <v>169711</v>
      </c>
      <c r="I40" s="873">
        <f>I937</f>
        <v>56358</v>
      </c>
      <c r="J40" s="873">
        <f>J937</f>
        <v>37572</v>
      </c>
      <c r="K40" s="873">
        <f t="shared" si="0"/>
        <v>93930</v>
      </c>
    </row>
    <row r="41" spans="1:11" s="874" customFormat="1" ht="65.25" customHeight="1">
      <c r="A41" s="893" t="s">
        <v>193</v>
      </c>
      <c r="B41" s="1083" t="s">
        <v>1476</v>
      </c>
      <c r="C41" s="1084"/>
      <c r="D41" s="1084"/>
      <c r="E41" s="1084"/>
      <c r="F41" s="1085"/>
      <c r="G41" s="894">
        <v>8100</v>
      </c>
      <c r="H41" s="896" t="s">
        <v>2445</v>
      </c>
      <c r="I41" s="873">
        <f>I943</f>
        <v>6000</v>
      </c>
      <c r="J41" s="873">
        <f>J943</f>
        <v>4000</v>
      </c>
      <c r="K41" s="873">
        <f t="shared" si="0"/>
        <v>10000</v>
      </c>
    </row>
    <row r="42" spans="1:11" s="874" customFormat="1" ht="65.25" customHeight="1">
      <c r="A42" s="893" t="s">
        <v>244</v>
      </c>
      <c r="B42" s="1083" t="s">
        <v>266</v>
      </c>
      <c r="C42" s="1084"/>
      <c r="D42" s="1084"/>
      <c r="E42" s="1084"/>
      <c r="F42" s="1085"/>
      <c r="G42" s="894">
        <v>8100</v>
      </c>
      <c r="H42" s="895">
        <v>169711</v>
      </c>
      <c r="I42" s="873">
        <f>I945</f>
        <v>1800</v>
      </c>
      <c r="J42" s="873">
        <f>J945</f>
        <v>1200</v>
      </c>
      <c r="K42" s="873">
        <f t="shared" si="0"/>
        <v>3000</v>
      </c>
    </row>
    <row r="43" spans="1:11" s="872" customFormat="1" ht="65.25" customHeight="1">
      <c r="A43" s="890"/>
      <c r="B43" s="1086" t="s">
        <v>1709</v>
      </c>
      <c r="C43" s="1087"/>
      <c r="D43" s="1087"/>
      <c r="E43" s="1087"/>
      <c r="F43" s="1088"/>
      <c r="G43" s="891"/>
      <c r="H43" s="892"/>
      <c r="I43" s="871">
        <f>SUM(I44:I48)</f>
        <v>805472</v>
      </c>
      <c r="J43" s="871">
        <f>SUM(J44:J48)</f>
        <v>438818</v>
      </c>
      <c r="K43" s="871">
        <f t="shared" si="0"/>
        <v>1244290</v>
      </c>
    </row>
    <row r="44" spans="1:11" s="874" customFormat="1" ht="65.25" customHeight="1">
      <c r="A44" s="893" t="s">
        <v>2</v>
      </c>
      <c r="B44" s="1083" t="s">
        <v>347</v>
      </c>
      <c r="C44" s="1084"/>
      <c r="D44" s="1084"/>
      <c r="E44" s="1084"/>
      <c r="F44" s="1085"/>
      <c r="G44" s="894">
        <v>8100</v>
      </c>
      <c r="H44" s="895">
        <v>169708</v>
      </c>
      <c r="I44" s="873">
        <f>I229-I45</f>
        <v>620157</v>
      </c>
      <c r="J44" s="873">
        <f>J229-J45</f>
        <v>332188</v>
      </c>
      <c r="K44" s="873">
        <f t="shared" si="0"/>
        <v>952345</v>
      </c>
    </row>
    <row r="45" spans="1:11" s="874" customFormat="1" ht="65.25" customHeight="1">
      <c r="A45" s="893"/>
      <c r="B45" s="1083" t="s">
        <v>2465</v>
      </c>
      <c r="C45" s="1084"/>
      <c r="D45" s="1084"/>
      <c r="E45" s="1084"/>
      <c r="F45" s="1085"/>
      <c r="G45" s="894"/>
      <c r="H45" s="895"/>
      <c r="I45" s="873">
        <f>I244+I245</f>
        <v>24172</v>
      </c>
      <c r="J45" s="873">
        <f>J244</f>
        <v>0</v>
      </c>
      <c r="K45" s="873">
        <f>I45+J45</f>
        <v>24172</v>
      </c>
    </row>
    <row r="46" spans="1:11" s="874" customFormat="1" ht="65.25" customHeight="1">
      <c r="A46" s="893" t="s">
        <v>480</v>
      </c>
      <c r="B46" s="1083" t="s">
        <v>482</v>
      </c>
      <c r="C46" s="1084"/>
      <c r="D46" s="1084"/>
      <c r="E46" s="1084"/>
      <c r="F46" s="1085"/>
      <c r="G46" s="894">
        <v>8100</v>
      </c>
      <c r="H46" s="895">
        <v>169715</v>
      </c>
      <c r="I46" s="873">
        <f>I246-I47</f>
        <v>150985</v>
      </c>
      <c r="J46" s="873">
        <f>J246-J47</f>
        <v>103915</v>
      </c>
      <c r="K46" s="873">
        <f t="shared" si="0"/>
        <v>254900</v>
      </c>
    </row>
    <row r="47" spans="1:11" s="874" customFormat="1" ht="65.25" customHeight="1">
      <c r="A47" s="893"/>
      <c r="B47" s="1083" t="s">
        <v>2466</v>
      </c>
      <c r="C47" s="1084"/>
      <c r="D47" s="1084"/>
      <c r="E47" s="1084"/>
      <c r="F47" s="1085"/>
      <c r="G47" s="894"/>
      <c r="H47" s="895"/>
      <c r="I47" s="873">
        <f>I248</f>
        <v>6211</v>
      </c>
      <c r="J47" s="873">
        <f>J248</f>
        <v>0</v>
      </c>
      <c r="K47" s="873">
        <f>I47+J47</f>
        <v>6211</v>
      </c>
    </row>
    <row r="48" spans="1:11" s="874" customFormat="1" ht="65.25" customHeight="1">
      <c r="A48" s="893" t="s">
        <v>533</v>
      </c>
      <c r="B48" s="1083" t="s">
        <v>1255</v>
      </c>
      <c r="C48" s="1084"/>
      <c r="D48" s="1084"/>
      <c r="E48" s="1084"/>
      <c r="F48" s="1085"/>
      <c r="G48" s="894">
        <v>8100</v>
      </c>
      <c r="H48" s="895">
        <v>169709</v>
      </c>
      <c r="I48" s="873">
        <f>I249</f>
        <v>3947</v>
      </c>
      <c r="J48" s="873">
        <f>J249</f>
        <v>2715</v>
      </c>
      <c r="K48" s="873">
        <f t="shared" si="0"/>
        <v>6662</v>
      </c>
    </row>
    <row r="49" spans="1:11" s="872" customFormat="1" ht="65.25" customHeight="1">
      <c r="A49" s="890"/>
      <c r="B49" s="1086" t="s">
        <v>1711</v>
      </c>
      <c r="C49" s="1087"/>
      <c r="D49" s="1087"/>
      <c r="E49" s="1087"/>
      <c r="F49" s="1088"/>
      <c r="G49" s="891"/>
      <c r="H49" s="892"/>
      <c r="I49" s="871">
        <f>SUM(I50:I54)</f>
        <v>908290</v>
      </c>
      <c r="J49" s="871">
        <f>SUM(J50:J54)</f>
        <v>552680</v>
      </c>
      <c r="K49" s="871">
        <f t="shared" si="0"/>
        <v>1460970</v>
      </c>
    </row>
    <row r="50" spans="1:11" s="874" customFormat="1" ht="65.25" customHeight="1">
      <c r="A50" s="893" t="s">
        <v>2</v>
      </c>
      <c r="B50" s="1083" t="s">
        <v>347</v>
      </c>
      <c r="C50" s="1084"/>
      <c r="D50" s="1084"/>
      <c r="E50" s="1084"/>
      <c r="F50" s="1085"/>
      <c r="G50" s="894">
        <v>8100</v>
      </c>
      <c r="H50" s="895">
        <v>169708</v>
      </c>
      <c r="I50" s="873">
        <f>I294-I51</f>
        <v>690303</v>
      </c>
      <c r="J50" s="873">
        <f>J294-J51</f>
        <v>427202</v>
      </c>
      <c r="K50" s="873">
        <f t="shared" si="0"/>
        <v>1117505</v>
      </c>
    </row>
    <row r="51" spans="1:11" s="874" customFormat="1" ht="65.25" customHeight="1">
      <c r="A51" s="893"/>
      <c r="B51" s="1083" t="s">
        <v>2465</v>
      </c>
      <c r="C51" s="1084"/>
      <c r="D51" s="1084"/>
      <c r="E51" s="1084"/>
      <c r="F51" s="1085"/>
      <c r="G51" s="894"/>
      <c r="H51" s="895"/>
      <c r="I51" s="873">
        <f>I307+I308</f>
        <v>28363</v>
      </c>
      <c r="J51" s="873">
        <f>J307</f>
        <v>0</v>
      </c>
      <c r="K51" s="873">
        <f>I51+J51</f>
        <v>28363</v>
      </c>
    </row>
    <row r="52" spans="1:11" s="874" customFormat="1" ht="65.25" customHeight="1">
      <c r="A52" s="893" t="s">
        <v>480</v>
      </c>
      <c r="B52" s="1083" t="s">
        <v>482</v>
      </c>
      <c r="C52" s="1084"/>
      <c r="D52" s="1084"/>
      <c r="E52" s="1084"/>
      <c r="F52" s="1085"/>
      <c r="G52" s="894">
        <v>8100</v>
      </c>
      <c r="H52" s="895">
        <v>169715</v>
      </c>
      <c r="I52" s="873">
        <f>I309-I53</f>
        <v>177672</v>
      </c>
      <c r="J52" s="873">
        <f>J309-J53</f>
        <v>122283</v>
      </c>
      <c r="K52" s="873">
        <f t="shared" si="0"/>
        <v>299955</v>
      </c>
    </row>
    <row r="53" spans="1:11" s="874" customFormat="1" ht="65.25" customHeight="1">
      <c r="A53" s="893"/>
      <c r="B53" s="1083" t="s">
        <v>2466</v>
      </c>
      <c r="C53" s="1084"/>
      <c r="D53" s="1084"/>
      <c r="E53" s="1084"/>
      <c r="F53" s="1085"/>
      <c r="G53" s="894"/>
      <c r="H53" s="895"/>
      <c r="I53" s="873">
        <f>I311</f>
        <v>7309</v>
      </c>
      <c r="J53" s="873">
        <f>J311</f>
        <v>0</v>
      </c>
      <c r="K53" s="873">
        <f>I53+J53</f>
        <v>7309</v>
      </c>
    </row>
    <row r="54" spans="1:11" s="874" customFormat="1" ht="65.25" customHeight="1">
      <c r="A54" s="893" t="s">
        <v>533</v>
      </c>
      <c r="B54" s="1083" t="s">
        <v>1255</v>
      </c>
      <c r="C54" s="1084"/>
      <c r="D54" s="1084"/>
      <c r="E54" s="1084"/>
      <c r="F54" s="1085"/>
      <c r="G54" s="894">
        <v>8100</v>
      </c>
      <c r="H54" s="895">
        <v>169709</v>
      </c>
      <c r="I54" s="873">
        <f>I312</f>
        <v>4643</v>
      </c>
      <c r="J54" s="873">
        <f>J312</f>
        <v>3195</v>
      </c>
      <c r="K54" s="873">
        <f t="shared" si="0"/>
        <v>7838</v>
      </c>
    </row>
    <row r="55" spans="1:11" s="872" customFormat="1" ht="65.25" customHeight="1">
      <c r="A55" s="890"/>
      <c r="B55" s="1086" t="s">
        <v>1602</v>
      </c>
      <c r="C55" s="1087"/>
      <c r="D55" s="1087"/>
      <c r="E55" s="1087"/>
      <c r="F55" s="1088"/>
      <c r="G55" s="891"/>
      <c r="H55" s="892"/>
      <c r="I55" s="871">
        <f>SUM(I56:I58)</f>
        <v>711751.8</v>
      </c>
      <c r="J55" s="871">
        <f>SUM(J56:J58)</f>
        <v>474501.2</v>
      </c>
      <c r="K55" s="871">
        <f t="shared" si="0"/>
        <v>1186253</v>
      </c>
    </row>
    <row r="56" spans="1:11" s="874" customFormat="1" ht="65.25" customHeight="1">
      <c r="A56" s="893" t="s">
        <v>2275</v>
      </c>
      <c r="B56" s="1083" t="s">
        <v>2212</v>
      </c>
      <c r="C56" s="1084"/>
      <c r="D56" s="1084"/>
      <c r="E56" s="1084"/>
      <c r="F56" s="1085"/>
      <c r="G56" s="894">
        <v>8100</v>
      </c>
      <c r="H56" s="895">
        <v>169711</v>
      </c>
      <c r="I56" s="873">
        <f>I320</f>
        <v>531000</v>
      </c>
      <c r="J56" s="873">
        <f>J320</f>
        <v>354000</v>
      </c>
      <c r="K56" s="873">
        <f t="shared" si="0"/>
        <v>885000</v>
      </c>
    </row>
    <row r="57" spans="1:11" s="874" customFormat="1" ht="65.25" customHeight="1">
      <c r="A57" s="893" t="s">
        <v>2204</v>
      </c>
      <c r="B57" s="1083" t="s">
        <v>2205</v>
      </c>
      <c r="C57" s="1084"/>
      <c r="D57" s="1084"/>
      <c r="E57" s="1084"/>
      <c r="F57" s="1085"/>
      <c r="G57" s="894">
        <v>8100</v>
      </c>
      <c r="H57" s="895">
        <v>169711</v>
      </c>
      <c r="I57" s="873">
        <f>I322</f>
        <v>173551.8</v>
      </c>
      <c r="J57" s="873">
        <f>J322</f>
        <v>115701.2</v>
      </c>
      <c r="K57" s="873">
        <f t="shared" si="0"/>
        <v>289253</v>
      </c>
    </row>
    <row r="58" spans="1:11" s="874" customFormat="1" ht="65.25" customHeight="1">
      <c r="A58" s="893" t="s">
        <v>193</v>
      </c>
      <c r="B58" s="1083" t="s">
        <v>1476</v>
      </c>
      <c r="C58" s="1084"/>
      <c r="D58" s="1084"/>
      <c r="E58" s="1084"/>
      <c r="F58" s="1085"/>
      <c r="G58" s="894">
        <v>8100</v>
      </c>
      <c r="H58" s="896" t="s">
        <v>2445</v>
      </c>
      <c r="I58" s="873">
        <f>I328</f>
        <v>7200</v>
      </c>
      <c r="J58" s="873">
        <f>J328</f>
        <v>4800</v>
      </c>
      <c r="K58" s="873">
        <f t="shared" si="0"/>
        <v>12000</v>
      </c>
    </row>
    <row r="59" spans="1:11" s="872" customFormat="1" ht="65.25" customHeight="1">
      <c r="A59" s="890"/>
      <c r="B59" s="1086" t="s">
        <v>1542</v>
      </c>
      <c r="C59" s="1087"/>
      <c r="D59" s="1087"/>
      <c r="E59" s="1087"/>
      <c r="F59" s="1088"/>
      <c r="G59" s="891"/>
      <c r="H59" s="892"/>
      <c r="I59" s="871">
        <f>SUM(I60:I61)</f>
        <v>290648.40000000002</v>
      </c>
      <c r="J59" s="871">
        <f>SUM(J60:J61)</f>
        <v>193765.59999999998</v>
      </c>
      <c r="K59" s="871">
        <f t="shared" si="0"/>
        <v>484414</v>
      </c>
    </row>
    <row r="60" spans="1:11" s="874" customFormat="1" ht="65.25" customHeight="1">
      <c r="A60" s="893" t="s">
        <v>2204</v>
      </c>
      <c r="B60" s="1083" t="s">
        <v>2205</v>
      </c>
      <c r="C60" s="1084"/>
      <c r="D60" s="1084"/>
      <c r="E60" s="1084"/>
      <c r="F60" s="1085"/>
      <c r="G60" s="894">
        <v>8100</v>
      </c>
      <c r="H60" s="895">
        <v>169711</v>
      </c>
      <c r="I60" s="873">
        <f>I409</f>
        <v>6600</v>
      </c>
      <c r="J60" s="873">
        <f>J409</f>
        <v>4400</v>
      </c>
      <c r="K60" s="873">
        <f t="shared" si="0"/>
        <v>11000</v>
      </c>
    </row>
    <row r="61" spans="1:11" s="874" customFormat="1" ht="65.25" customHeight="1">
      <c r="A61" s="893" t="s">
        <v>244</v>
      </c>
      <c r="B61" s="1083" t="s">
        <v>266</v>
      </c>
      <c r="C61" s="1084"/>
      <c r="D61" s="1084"/>
      <c r="E61" s="1084"/>
      <c r="F61" s="1085"/>
      <c r="G61" s="894">
        <v>8100</v>
      </c>
      <c r="H61" s="895">
        <v>169711</v>
      </c>
      <c r="I61" s="873">
        <f>I343</f>
        <v>284048.40000000002</v>
      </c>
      <c r="J61" s="873">
        <f>J343</f>
        <v>189365.59999999998</v>
      </c>
      <c r="K61" s="873">
        <f t="shared" si="0"/>
        <v>473414</v>
      </c>
    </row>
    <row r="62" spans="1:11" s="548" customFormat="1" ht="42" customHeight="1">
      <c r="A62" s="761"/>
      <c r="B62" s="760"/>
      <c r="C62" s="760"/>
      <c r="D62" s="760"/>
      <c r="E62" s="760"/>
      <c r="F62" s="760"/>
      <c r="G62" s="762"/>
      <c r="H62" s="762"/>
      <c r="I62" s="763"/>
      <c r="J62" s="763"/>
      <c r="K62" s="763"/>
    </row>
    <row r="63" spans="1:11" ht="45">
      <c r="A63" s="979" t="s">
        <v>51</v>
      </c>
      <c r="B63" s="979"/>
      <c r="C63" s="979"/>
      <c r="D63" s="979"/>
      <c r="E63" s="979"/>
      <c r="F63" s="979"/>
      <c r="G63" s="979"/>
      <c r="H63" s="979"/>
      <c r="I63" s="979"/>
      <c r="J63" s="979"/>
      <c r="K63" s="979"/>
    </row>
    <row r="64" spans="1:11" ht="45">
      <c r="A64" s="979" t="s">
        <v>52</v>
      </c>
      <c r="B64" s="979"/>
      <c r="C64" s="979"/>
      <c r="D64" s="979"/>
      <c r="E64" s="979"/>
      <c r="F64" s="979"/>
      <c r="G64" s="979"/>
      <c r="H64" s="979"/>
      <c r="I64" s="979"/>
      <c r="J64" s="979"/>
      <c r="K64" s="979"/>
    </row>
    <row r="65" spans="1:11" ht="45">
      <c r="A65" s="1040" t="s">
        <v>50</v>
      </c>
      <c r="B65" s="1040"/>
      <c r="C65" s="1040"/>
      <c r="D65" s="1040"/>
      <c r="E65" s="1040"/>
      <c r="F65" s="1040"/>
      <c r="G65" s="1040"/>
      <c r="H65" s="1040"/>
      <c r="I65" s="1040"/>
      <c r="J65" s="1040"/>
      <c r="K65" s="1040"/>
    </row>
    <row r="66" spans="1:11" ht="44.25">
      <c r="A66" s="736"/>
      <c r="B66" s="736"/>
      <c r="C66" s="736"/>
      <c r="D66" s="736"/>
      <c r="E66" s="736"/>
      <c r="F66" s="736"/>
      <c r="G66" s="838"/>
      <c r="H66" s="838"/>
      <c r="I66" s="838"/>
      <c r="J66" s="838"/>
      <c r="K66" s="838"/>
    </row>
    <row r="67" spans="1:11" ht="45">
      <c r="A67" s="979" t="s">
        <v>2214</v>
      </c>
      <c r="B67" s="979"/>
      <c r="C67" s="979"/>
      <c r="D67" s="979"/>
      <c r="E67" s="979"/>
      <c r="F67" s="979"/>
      <c r="G67" s="979"/>
      <c r="H67" s="979"/>
      <c r="I67" s="979"/>
      <c r="J67" s="979"/>
      <c r="K67" s="979"/>
    </row>
    <row r="68" spans="1:11" s="620" customFormat="1" ht="33">
      <c r="A68" s="65"/>
      <c r="B68" s="65"/>
      <c r="C68" s="65"/>
      <c r="D68" s="65"/>
      <c r="E68" s="65"/>
      <c r="F68" s="65"/>
      <c r="G68" s="68"/>
      <c r="H68" s="68"/>
      <c r="I68" s="68"/>
      <c r="J68" s="68"/>
      <c r="K68" s="68"/>
    </row>
    <row r="69" spans="1:11" ht="20.100000000000001" customHeight="1">
      <c r="A69" s="65"/>
      <c r="B69" s="65"/>
      <c r="C69" s="65"/>
      <c r="D69" s="65"/>
      <c r="E69" s="65"/>
      <c r="F69" s="65"/>
      <c r="G69" s="68"/>
      <c r="H69" s="68"/>
      <c r="I69" s="68"/>
      <c r="J69" s="68"/>
      <c r="K69" s="68"/>
    </row>
    <row r="70" spans="1:11" ht="20.100000000000001" customHeight="1">
      <c r="A70" s="979"/>
      <c r="B70" s="979"/>
      <c r="C70" s="979"/>
      <c r="D70" s="979"/>
      <c r="E70" s="979"/>
      <c r="F70" s="979"/>
      <c r="G70" s="979"/>
      <c r="H70" s="979"/>
      <c r="I70" s="979"/>
      <c r="J70" s="979"/>
      <c r="K70" s="979"/>
    </row>
    <row r="71" spans="1:11" ht="45.75" customHeight="1">
      <c r="A71" s="1029" t="s">
        <v>2492</v>
      </c>
      <c r="B71" s="1030"/>
      <c r="C71" s="1030"/>
      <c r="D71" s="1030"/>
      <c r="E71" s="1030"/>
      <c r="F71" s="1030"/>
      <c r="G71" s="1030"/>
      <c r="H71" s="1030"/>
      <c r="I71" s="1030"/>
      <c r="J71" s="1030"/>
      <c r="K71" s="1030"/>
    </row>
    <row r="72" spans="1:11" s="904" customFormat="1" ht="64.5" customHeight="1">
      <c r="A72" s="1094" t="s">
        <v>183</v>
      </c>
      <c r="B72" s="1094" t="s">
        <v>209</v>
      </c>
      <c r="C72" s="886"/>
      <c r="D72" s="886"/>
      <c r="E72" s="886"/>
      <c r="F72" s="887"/>
      <c r="G72" s="1078" t="s">
        <v>440</v>
      </c>
      <c r="H72" s="1080" t="s">
        <v>16</v>
      </c>
      <c r="I72" s="1082" t="s">
        <v>1490</v>
      </c>
      <c r="J72" s="1082" t="s">
        <v>2507</v>
      </c>
      <c r="K72" s="1089" t="s">
        <v>200</v>
      </c>
    </row>
    <row r="73" spans="1:11" s="904" customFormat="1" ht="64.5" customHeight="1">
      <c r="A73" s="1095"/>
      <c r="B73" s="1095"/>
      <c r="C73" s="888"/>
      <c r="D73" s="888"/>
      <c r="E73" s="888"/>
      <c r="F73" s="889"/>
      <c r="G73" s="1079"/>
      <c r="H73" s="1081"/>
      <c r="I73" s="1082"/>
      <c r="J73" s="1082"/>
      <c r="K73" s="1090"/>
    </row>
    <row r="74" spans="1:11" s="872" customFormat="1" ht="64.5" customHeight="1">
      <c r="A74" s="890"/>
      <c r="B74" s="1086" t="s">
        <v>1633</v>
      </c>
      <c r="C74" s="1087"/>
      <c r="D74" s="1087"/>
      <c r="E74" s="1087"/>
      <c r="F74" s="1088"/>
      <c r="G74" s="891"/>
      <c r="H74" s="892"/>
      <c r="I74" s="871">
        <f>SUM(I75:I78)</f>
        <v>229105.19999999998</v>
      </c>
      <c r="J74" s="871">
        <f>SUM(J75:J78)</f>
        <v>152736.79999999999</v>
      </c>
      <c r="K74" s="871">
        <f t="shared" ref="K74:K123" si="1">I74+J74</f>
        <v>381842</v>
      </c>
    </row>
    <row r="75" spans="1:11" s="874" customFormat="1" ht="64.5" customHeight="1">
      <c r="A75" s="893" t="s">
        <v>2275</v>
      </c>
      <c r="B75" s="1083" t="s">
        <v>2212</v>
      </c>
      <c r="C75" s="1084"/>
      <c r="D75" s="1084"/>
      <c r="E75" s="1084"/>
      <c r="F75" s="1085"/>
      <c r="G75" s="894">
        <v>8100</v>
      </c>
      <c r="H75" s="895">
        <v>169711</v>
      </c>
      <c r="I75" s="873">
        <f>I354</f>
        <v>23547</v>
      </c>
      <c r="J75" s="873">
        <f>J354</f>
        <v>15698</v>
      </c>
      <c r="K75" s="873">
        <f t="shared" si="1"/>
        <v>39245</v>
      </c>
    </row>
    <row r="76" spans="1:11" s="874" customFormat="1" ht="64.5" customHeight="1">
      <c r="A76" s="893" t="s">
        <v>2204</v>
      </c>
      <c r="B76" s="1083" t="s">
        <v>2205</v>
      </c>
      <c r="C76" s="1084"/>
      <c r="D76" s="1084"/>
      <c r="E76" s="1084"/>
      <c r="F76" s="1085"/>
      <c r="G76" s="894">
        <v>8100</v>
      </c>
      <c r="H76" s="895">
        <v>169711</v>
      </c>
      <c r="I76" s="873">
        <f>I356</f>
        <v>196858.19999999998</v>
      </c>
      <c r="J76" s="873">
        <f>J356</f>
        <v>131238.79999999999</v>
      </c>
      <c r="K76" s="873">
        <f t="shared" si="1"/>
        <v>328097</v>
      </c>
    </row>
    <row r="77" spans="1:11" s="874" customFormat="1" ht="64.5" customHeight="1">
      <c r="A77" s="893" t="s">
        <v>193</v>
      </c>
      <c r="B77" s="1083" t="s">
        <v>1476</v>
      </c>
      <c r="C77" s="1084"/>
      <c r="D77" s="1084"/>
      <c r="E77" s="1084"/>
      <c r="F77" s="1085"/>
      <c r="G77" s="894">
        <v>8100</v>
      </c>
      <c r="H77" s="896" t="s">
        <v>2445</v>
      </c>
      <c r="I77" s="873">
        <f>I367</f>
        <v>2700</v>
      </c>
      <c r="J77" s="873">
        <f>J367</f>
        <v>1800</v>
      </c>
      <c r="K77" s="873">
        <f t="shared" si="1"/>
        <v>4500</v>
      </c>
    </row>
    <row r="78" spans="1:11" s="874" customFormat="1" ht="64.5" customHeight="1">
      <c r="A78" s="893" t="s">
        <v>244</v>
      </c>
      <c r="B78" s="1083" t="s">
        <v>266</v>
      </c>
      <c r="C78" s="1084"/>
      <c r="D78" s="1084"/>
      <c r="E78" s="1084"/>
      <c r="F78" s="1085"/>
      <c r="G78" s="894">
        <v>8100</v>
      </c>
      <c r="H78" s="895">
        <v>169711</v>
      </c>
      <c r="I78" s="873">
        <f>I369</f>
        <v>6000</v>
      </c>
      <c r="J78" s="873">
        <f>J369</f>
        <v>4000</v>
      </c>
      <c r="K78" s="873">
        <f t="shared" si="1"/>
        <v>10000</v>
      </c>
    </row>
    <row r="79" spans="1:11" s="872" customFormat="1" ht="64.5" customHeight="1">
      <c r="A79" s="890"/>
      <c r="B79" s="1086" t="s">
        <v>1563</v>
      </c>
      <c r="C79" s="1087"/>
      <c r="D79" s="1087"/>
      <c r="E79" s="1087"/>
      <c r="F79" s="1088"/>
      <c r="G79" s="891"/>
      <c r="H79" s="892"/>
      <c r="I79" s="871">
        <f>SUM(I80:I82)</f>
        <v>99103.8</v>
      </c>
      <c r="J79" s="871">
        <f>SUM(J80:J82)</f>
        <v>66069.2</v>
      </c>
      <c r="K79" s="871">
        <f t="shared" si="1"/>
        <v>165173</v>
      </c>
    </row>
    <row r="80" spans="1:11" s="874" customFormat="1" ht="64.5" customHeight="1">
      <c r="A80" s="893" t="s">
        <v>2204</v>
      </c>
      <c r="B80" s="1083" t="s">
        <v>2205</v>
      </c>
      <c r="C80" s="1084"/>
      <c r="D80" s="1084"/>
      <c r="E80" s="1084"/>
      <c r="F80" s="1085"/>
      <c r="G80" s="894">
        <v>8100</v>
      </c>
      <c r="H80" s="895">
        <v>169711</v>
      </c>
      <c r="I80" s="873">
        <f>I387</f>
        <v>85878</v>
      </c>
      <c r="J80" s="873">
        <f>J387</f>
        <v>57252</v>
      </c>
      <c r="K80" s="873">
        <f t="shared" si="1"/>
        <v>143130</v>
      </c>
    </row>
    <row r="81" spans="1:11" s="874" customFormat="1" ht="64.5" customHeight="1">
      <c r="A81" s="893" t="s">
        <v>193</v>
      </c>
      <c r="B81" s="1083" t="s">
        <v>1476</v>
      </c>
      <c r="C81" s="1084"/>
      <c r="D81" s="1084"/>
      <c r="E81" s="1084"/>
      <c r="F81" s="1085"/>
      <c r="G81" s="894">
        <v>8100</v>
      </c>
      <c r="H81" s="896" t="s">
        <v>2445</v>
      </c>
      <c r="I81" s="873">
        <f>I393</f>
        <v>8100</v>
      </c>
      <c r="J81" s="873">
        <f>J393</f>
        <v>5400</v>
      </c>
      <c r="K81" s="873">
        <f t="shared" si="1"/>
        <v>13500</v>
      </c>
    </row>
    <row r="82" spans="1:11" s="874" customFormat="1" ht="64.5" customHeight="1">
      <c r="A82" s="893" t="s">
        <v>244</v>
      </c>
      <c r="B82" s="1083" t="s">
        <v>266</v>
      </c>
      <c r="C82" s="1084"/>
      <c r="D82" s="1084"/>
      <c r="E82" s="1084"/>
      <c r="F82" s="1085"/>
      <c r="G82" s="894">
        <v>8100</v>
      </c>
      <c r="H82" s="895">
        <v>169711</v>
      </c>
      <c r="I82" s="873">
        <f>I395</f>
        <v>5125.8</v>
      </c>
      <c r="J82" s="873">
        <f>J395</f>
        <v>3417.2000000000003</v>
      </c>
      <c r="K82" s="873">
        <f t="shared" si="1"/>
        <v>8543</v>
      </c>
    </row>
    <row r="83" spans="1:11" s="872" customFormat="1" ht="64.5" customHeight="1">
      <c r="A83" s="890"/>
      <c r="B83" s="1086" t="s">
        <v>1514</v>
      </c>
      <c r="C83" s="1087"/>
      <c r="D83" s="1087"/>
      <c r="E83" s="1087"/>
      <c r="F83" s="1088"/>
      <c r="G83" s="891"/>
      <c r="H83" s="892"/>
      <c r="I83" s="871">
        <f>SUM(I84:I87)</f>
        <v>458095.80000000005</v>
      </c>
      <c r="J83" s="871">
        <f>SUM(J84:J87)</f>
        <v>305397.2</v>
      </c>
      <c r="K83" s="871">
        <f t="shared" si="1"/>
        <v>763493</v>
      </c>
    </row>
    <row r="84" spans="1:11" s="874" customFormat="1" ht="64.5" customHeight="1">
      <c r="A84" s="893" t="s">
        <v>2275</v>
      </c>
      <c r="B84" s="1083" t="s">
        <v>2212</v>
      </c>
      <c r="C84" s="1084"/>
      <c r="D84" s="1084"/>
      <c r="E84" s="1084"/>
      <c r="F84" s="1085"/>
      <c r="G84" s="894">
        <v>8100</v>
      </c>
      <c r="H84" s="895">
        <v>169711</v>
      </c>
      <c r="I84" s="873">
        <f>I402</f>
        <v>20635.2</v>
      </c>
      <c r="J84" s="873">
        <f>J402</f>
        <v>13756.800000000001</v>
      </c>
      <c r="K84" s="873">
        <f t="shared" si="1"/>
        <v>34392</v>
      </c>
    </row>
    <row r="85" spans="1:11" s="874" customFormat="1" ht="64.5" customHeight="1">
      <c r="A85" s="893" t="s">
        <v>2204</v>
      </c>
      <c r="B85" s="1083" t="s">
        <v>2205</v>
      </c>
      <c r="C85" s="1084"/>
      <c r="D85" s="1084"/>
      <c r="E85" s="1084"/>
      <c r="F85" s="1085"/>
      <c r="G85" s="894">
        <v>8100</v>
      </c>
      <c r="H85" s="895">
        <v>169711</v>
      </c>
      <c r="I85" s="873">
        <f>I404</f>
        <v>412860.60000000003</v>
      </c>
      <c r="J85" s="873">
        <f>J404</f>
        <v>275240.40000000002</v>
      </c>
      <c r="K85" s="873">
        <f t="shared" si="1"/>
        <v>688101</v>
      </c>
    </row>
    <row r="86" spans="1:11" s="874" customFormat="1" ht="64.5" customHeight="1">
      <c r="A86" s="893" t="s">
        <v>193</v>
      </c>
      <c r="B86" s="1083" t="s">
        <v>1476</v>
      </c>
      <c r="C86" s="1084"/>
      <c r="D86" s="1084"/>
      <c r="E86" s="1084"/>
      <c r="F86" s="1085"/>
      <c r="G86" s="894">
        <v>8100</v>
      </c>
      <c r="H86" s="896" t="s">
        <v>2445</v>
      </c>
      <c r="I86" s="873">
        <f>I408</f>
        <v>6600</v>
      </c>
      <c r="J86" s="873">
        <f>J408</f>
        <v>4400</v>
      </c>
      <c r="K86" s="873">
        <f t="shared" si="1"/>
        <v>11000</v>
      </c>
    </row>
    <row r="87" spans="1:11" s="874" customFormat="1" ht="64.5" customHeight="1">
      <c r="A87" s="893" t="s">
        <v>244</v>
      </c>
      <c r="B87" s="1083" t="s">
        <v>266</v>
      </c>
      <c r="C87" s="1084"/>
      <c r="D87" s="1084"/>
      <c r="E87" s="1084"/>
      <c r="F87" s="1085"/>
      <c r="G87" s="894">
        <v>8100</v>
      </c>
      <c r="H87" s="895">
        <v>169711</v>
      </c>
      <c r="I87" s="873">
        <f>I410</f>
        <v>18000</v>
      </c>
      <c r="J87" s="873">
        <f>J410</f>
        <v>12000</v>
      </c>
      <c r="K87" s="873">
        <f t="shared" si="1"/>
        <v>30000</v>
      </c>
    </row>
    <row r="88" spans="1:11" s="872" customFormat="1" ht="64.5" customHeight="1">
      <c r="A88" s="890"/>
      <c r="B88" s="1086" t="s">
        <v>1665</v>
      </c>
      <c r="C88" s="1087"/>
      <c r="D88" s="1087"/>
      <c r="E88" s="1087"/>
      <c r="F88" s="1088"/>
      <c r="G88" s="891"/>
      <c r="H88" s="892"/>
      <c r="I88" s="871">
        <f>SUM(I89:I92)</f>
        <v>458956.2</v>
      </c>
      <c r="J88" s="871">
        <f>SUM(J89:J92)</f>
        <v>305970.8</v>
      </c>
      <c r="K88" s="871">
        <f t="shared" si="1"/>
        <v>764927</v>
      </c>
    </row>
    <row r="89" spans="1:11" s="874" customFormat="1" ht="64.5" customHeight="1">
      <c r="A89" s="893" t="s">
        <v>2275</v>
      </c>
      <c r="B89" s="1083" t="s">
        <v>2212</v>
      </c>
      <c r="C89" s="1084"/>
      <c r="D89" s="1084"/>
      <c r="E89" s="1084"/>
      <c r="F89" s="1085"/>
      <c r="G89" s="894">
        <v>8100</v>
      </c>
      <c r="H89" s="895">
        <v>169711</v>
      </c>
      <c r="I89" s="873">
        <f>I429</f>
        <v>39048.6</v>
      </c>
      <c r="J89" s="873">
        <f>J429</f>
        <v>26032.399999999998</v>
      </c>
      <c r="K89" s="873">
        <f t="shared" si="1"/>
        <v>65081</v>
      </c>
    </row>
    <row r="90" spans="1:11" s="874" customFormat="1" ht="64.5" customHeight="1">
      <c r="A90" s="893" t="s">
        <v>2204</v>
      </c>
      <c r="B90" s="1083" t="s">
        <v>2205</v>
      </c>
      <c r="C90" s="1084"/>
      <c r="D90" s="1084"/>
      <c r="E90" s="1084"/>
      <c r="F90" s="1085"/>
      <c r="G90" s="894">
        <v>8100</v>
      </c>
      <c r="H90" s="895">
        <v>169711</v>
      </c>
      <c r="I90" s="873">
        <f>I431</f>
        <v>380117.4</v>
      </c>
      <c r="J90" s="873">
        <f>J431</f>
        <v>253411.6</v>
      </c>
      <c r="K90" s="873">
        <f t="shared" si="1"/>
        <v>633529</v>
      </c>
    </row>
    <row r="91" spans="1:11" s="874" customFormat="1" ht="64.5" customHeight="1">
      <c r="A91" s="893" t="s">
        <v>193</v>
      </c>
      <c r="B91" s="1083" t="s">
        <v>1476</v>
      </c>
      <c r="C91" s="1084"/>
      <c r="D91" s="1084"/>
      <c r="E91" s="1084"/>
      <c r="F91" s="1085"/>
      <c r="G91" s="894">
        <v>8100</v>
      </c>
      <c r="H91" s="896" t="s">
        <v>2445</v>
      </c>
      <c r="I91" s="873">
        <f>I442</f>
        <v>9000</v>
      </c>
      <c r="J91" s="873">
        <f>J442</f>
        <v>6000</v>
      </c>
      <c r="K91" s="873">
        <f t="shared" si="1"/>
        <v>15000</v>
      </c>
    </row>
    <row r="92" spans="1:11" s="874" customFormat="1" ht="64.5" customHeight="1">
      <c r="A92" s="893" t="s">
        <v>244</v>
      </c>
      <c r="B92" s="1083" t="s">
        <v>266</v>
      </c>
      <c r="C92" s="1084"/>
      <c r="D92" s="1084"/>
      <c r="E92" s="1084"/>
      <c r="F92" s="1085"/>
      <c r="G92" s="894">
        <v>8100</v>
      </c>
      <c r="H92" s="895">
        <v>169711</v>
      </c>
      <c r="I92" s="873">
        <f>I444</f>
        <v>30790.2</v>
      </c>
      <c r="J92" s="873">
        <f>J444</f>
        <v>20526.8</v>
      </c>
      <c r="K92" s="873">
        <f t="shared" si="1"/>
        <v>51317</v>
      </c>
    </row>
    <row r="93" spans="1:11" s="872" customFormat="1" ht="64.5" customHeight="1">
      <c r="A93" s="890"/>
      <c r="B93" s="1086" t="s">
        <v>1618</v>
      </c>
      <c r="C93" s="1087"/>
      <c r="D93" s="1087"/>
      <c r="E93" s="1087"/>
      <c r="F93" s="1088"/>
      <c r="G93" s="891"/>
      <c r="H93" s="892"/>
      <c r="I93" s="871">
        <f>SUM(I94:I96)</f>
        <v>217060.8</v>
      </c>
      <c r="J93" s="871">
        <f>SUM(J94:J96)</f>
        <v>144707.20000000001</v>
      </c>
      <c r="K93" s="871">
        <f t="shared" si="1"/>
        <v>361768</v>
      </c>
    </row>
    <row r="94" spans="1:11" s="874" customFormat="1" ht="64.5" customHeight="1">
      <c r="A94" s="893" t="s">
        <v>2204</v>
      </c>
      <c r="B94" s="1083" t="s">
        <v>2205</v>
      </c>
      <c r="C94" s="1084"/>
      <c r="D94" s="1084"/>
      <c r="E94" s="1084"/>
      <c r="F94" s="1085"/>
      <c r="G94" s="894">
        <v>8100</v>
      </c>
      <c r="H94" s="895">
        <v>169711</v>
      </c>
      <c r="I94" s="873">
        <f>I472</f>
        <v>210460.79999999999</v>
      </c>
      <c r="J94" s="873">
        <f>J472</f>
        <v>140307.20000000001</v>
      </c>
      <c r="K94" s="873">
        <f t="shared" si="1"/>
        <v>350768</v>
      </c>
    </row>
    <row r="95" spans="1:11" s="874" customFormat="1" ht="64.5" customHeight="1">
      <c r="A95" s="893" t="s">
        <v>193</v>
      </c>
      <c r="B95" s="1083" t="s">
        <v>1476</v>
      </c>
      <c r="C95" s="1084"/>
      <c r="D95" s="1084"/>
      <c r="E95" s="1084"/>
      <c r="F95" s="1085"/>
      <c r="G95" s="894">
        <v>8100</v>
      </c>
      <c r="H95" s="896" t="s">
        <v>2445</v>
      </c>
      <c r="I95" s="873">
        <f>I478</f>
        <v>3600</v>
      </c>
      <c r="J95" s="873">
        <f>J478</f>
        <v>2400</v>
      </c>
      <c r="K95" s="873">
        <f t="shared" si="1"/>
        <v>6000</v>
      </c>
    </row>
    <row r="96" spans="1:11" s="874" customFormat="1" ht="64.5" customHeight="1">
      <c r="A96" s="893" t="s">
        <v>244</v>
      </c>
      <c r="B96" s="1083" t="s">
        <v>266</v>
      </c>
      <c r="C96" s="1084"/>
      <c r="D96" s="1084"/>
      <c r="E96" s="1084"/>
      <c r="F96" s="1085"/>
      <c r="G96" s="894">
        <v>8100</v>
      </c>
      <c r="H96" s="895">
        <v>169711</v>
      </c>
      <c r="I96" s="873">
        <f>I480</f>
        <v>3000</v>
      </c>
      <c r="J96" s="873">
        <f>J480</f>
        <v>2000</v>
      </c>
      <c r="K96" s="873">
        <f t="shared" si="1"/>
        <v>5000</v>
      </c>
    </row>
    <row r="97" spans="1:11" s="872" customFormat="1" ht="64.5" customHeight="1">
      <c r="A97" s="890"/>
      <c r="B97" s="1086" t="s">
        <v>1530</v>
      </c>
      <c r="C97" s="1087"/>
      <c r="D97" s="1087"/>
      <c r="E97" s="1087"/>
      <c r="F97" s="1088"/>
      <c r="G97" s="891"/>
      <c r="H97" s="892"/>
      <c r="I97" s="871">
        <f>SUM(I98:I99)</f>
        <v>567863.4</v>
      </c>
      <c r="J97" s="871">
        <f>SUM(J98:J99)</f>
        <v>378575.6</v>
      </c>
      <c r="K97" s="871">
        <f t="shared" si="1"/>
        <v>946439</v>
      </c>
    </row>
    <row r="98" spans="1:11" s="874" customFormat="1" ht="64.5" customHeight="1">
      <c r="A98" s="893" t="s">
        <v>2275</v>
      </c>
      <c r="B98" s="1083" t="s">
        <v>2212</v>
      </c>
      <c r="C98" s="1084"/>
      <c r="D98" s="1084"/>
      <c r="E98" s="1084"/>
      <c r="F98" s="1085"/>
      <c r="G98" s="894">
        <v>8100</v>
      </c>
      <c r="H98" s="895">
        <v>169711</v>
      </c>
      <c r="I98" s="873">
        <f>I486</f>
        <v>72000</v>
      </c>
      <c r="J98" s="873">
        <f>J486</f>
        <v>48000</v>
      </c>
      <c r="K98" s="873">
        <f t="shared" si="1"/>
        <v>120000</v>
      </c>
    </row>
    <row r="99" spans="1:11" s="874" customFormat="1" ht="64.5" customHeight="1">
      <c r="A99" s="893" t="s">
        <v>2204</v>
      </c>
      <c r="B99" s="1083" t="s">
        <v>2205</v>
      </c>
      <c r="C99" s="1084"/>
      <c r="D99" s="1084"/>
      <c r="E99" s="1084"/>
      <c r="F99" s="1085"/>
      <c r="G99" s="894">
        <v>8100</v>
      </c>
      <c r="H99" s="895">
        <v>169711</v>
      </c>
      <c r="I99" s="873">
        <f>I488</f>
        <v>495863.4</v>
      </c>
      <c r="J99" s="873">
        <f>J488</f>
        <v>330575.59999999998</v>
      </c>
      <c r="K99" s="873">
        <f t="shared" si="1"/>
        <v>826439</v>
      </c>
    </row>
    <row r="100" spans="1:11" s="872" customFormat="1" ht="64.5" customHeight="1">
      <c r="A100" s="890"/>
      <c r="B100" s="1086" t="s">
        <v>1571</v>
      </c>
      <c r="C100" s="1087"/>
      <c r="D100" s="1087"/>
      <c r="E100" s="1087"/>
      <c r="F100" s="1088"/>
      <c r="G100" s="891"/>
      <c r="H100" s="892"/>
      <c r="I100" s="871">
        <f>SUM(I101:I104)</f>
        <v>312034.8</v>
      </c>
      <c r="J100" s="871">
        <f>SUM(J101:J104)</f>
        <v>208023.19999999998</v>
      </c>
      <c r="K100" s="871">
        <f t="shared" si="1"/>
        <v>520058</v>
      </c>
    </row>
    <row r="101" spans="1:11" s="874" customFormat="1" ht="64.5" customHeight="1">
      <c r="A101" s="893" t="s">
        <v>2275</v>
      </c>
      <c r="B101" s="1083" t="s">
        <v>2212</v>
      </c>
      <c r="C101" s="1084"/>
      <c r="D101" s="1084"/>
      <c r="E101" s="1084"/>
      <c r="F101" s="1085"/>
      <c r="G101" s="894">
        <v>8100</v>
      </c>
      <c r="H101" s="895">
        <v>169711</v>
      </c>
      <c r="I101" s="873">
        <f>I507</f>
        <v>41682</v>
      </c>
      <c r="J101" s="873">
        <f>J507</f>
        <v>27788</v>
      </c>
      <c r="K101" s="873">
        <f t="shared" si="1"/>
        <v>69470</v>
      </c>
    </row>
    <row r="102" spans="1:11" s="874" customFormat="1" ht="64.5" customHeight="1">
      <c r="A102" s="893" t="s">
        <v>2204</v>
      </c>
      <c r="B102" s="1083" t="s">
        <v>2205</v>
      </c>
      <c r="C102" s="1084"/>
      <c r="D102" s="1084"/>
      <c r="E102" s="1084"/>
      <c r="F102" s="1085"/>
      <c r="G102" s="894">
        <v>8100</v>
      </c>
      <c r="H102" s="895">
        <v>169711</v>
      </c>
      <c r="I102" s="873">
        <f>I509</f>
        <v>238125.59999999998</v>
      </c>
      <c r="J102" s="873">
        <f>J509</f>
        <v>158750.39999999999</v>
      </c>
      <c r="K102" s="873">
        <f t="shared" si="1"/>
        <v>396876</v>
      </c>
    </row>
    <row r="103" spans="1:11" s="874" customFormat="1" ht="64.5" customHeight="1">
      <c r="A103" s="893" t="s">
        <v>193</v>
      </c>
      <c r="B103" s="1083" t="s">
        <v>1476</v>
      </c>
      <c r="C103" s="1084"/>
      <c r="D103" s="1084"/>
      <c r="E103" s="1084"/>
      <c r="F103" s="1085"/>
      <c r="G103" s="894">
        <v>8100</v>
      </c>
      <c r="H103" s="896" t="s">
        <v>2445</v>
      </c>
      <c r="I103" s="873">
        <f>I520</f>
        <v>9600</v>
      </c>
      <c r="J103" s="873">
        <f>J520</f>
        <v>6400</v>
      </c>
      <c r="K103" s="873">
        <f t="shared" si="1"/>
        <v>16000</v>
      </c>
    </row>
    <row r="104" spans="1:11" s="874" customFormat="1" ht="64.5" customHeight="1">
      <c r="A104" s="893" t="s">
        <v>244</v>
      </c>
      <c r="B104" s="1083" t="s">
        <v>266</v>
      </c>
      <c r="C104" s="1084"/>
      <c r="D104" s="1084"/>
      <c r="E104" s="1084"/>
      <c r="F104" s="1085"/>
      <c r="G104" s="894">
        <v>8100</v>
      </c>
      <c r="H104" s="895">
        <v>169711</v>
      </c>
      <c r="I104" s="873">
        <f>I522</f>
        <v>22627.200000000001</v>
      </c>
      <c r="J104" s="873">
        <f>J522</f>
        <v>15084.8</v>
      </c>
      <c r="K104" s="873">
        <f t="shared" si="1"/>
        <v>37712</v>
      </c>
    </row>
    <row r="105" spans="1:11" s="872" customFormat="1" ht="64.5" customHeight="1">
      <c r="A105" s="890"/>
      <c r="B105" s="1086" t="s">
        <v>1564</v>
      </c>
      <c r="C105" s="1087"/>
      <c r="D105" s="1087"/>
      <c r="E105" s="1087"/>
      <c r="F105" s="1088"/>
      <c r="G105" s="891"/>
      <c r="H105" s="892"/>
      <c r="I105" s="871">
        <f>SUM(I106:I107)</f>
        <v>260177.4</v>
      </c>
      <c r="J105" s="871">
        <f>SUM(J106:J107)</f>
        <v>173451.6</v>
      </c>
      <c r="K105" s="871">
        <f t="shared" si="1"/>
        <v>433629</v>
      </c>
    </row>
    <row r="106" spans="1:11" s="874" customFormat="1" ht="64.5" customHeight="1">
      <c r="A106" s="893" t="s">
        <v>2204</v>
      </c>
      <c r="B106" s="1083" t="s">
        <v>2205</v>
      </c>
      <c r="C106" s="1084"/>
      <c r="D106" s="1084"/>
      <c r="E106" s="1084"/>
      <c r="F106" s="1085"/>
      <c r="G106" s="894">
        <v>8100</v>
      </c>
      <c r="H106" s="895">
        <v>169711</v>
      </c>
      <c r="I106" s="873">
        <f>I550</f>
        <v>236177.4</v>
      </c>
      <c r="J106" s="873">
        <f>J550</f>
        <v>157451.6</v>
      </c>
      <c r="K106" s="873">
        <f t="shared" si="1"/>
        <v>393629</v>
      </c>
    </row>
    <row r="107" spans="1:11" s="874" customFormat="1" ht="64.5" customHeight="1">
      <c r="A107" s="893" t="s">
        <v>244</v>
      </c>
      <c r="B107" s="1083" t="s">
        <v>266</v>
      </c>
      <c r="C107" s="1084"/>
      <c r="D107" s="1084"/>
      <c r="E107" s="1084"/>
      <c r="F107" s="1085"/>
      <c r="G107" s="894">
        <v>8100</v>
      </c>
      <c r="H107" s="895">
        <v>169711</v>
      </c>
      <c r="I107" s="873">
        <f>I554</f>
        <v>24000</v>
      </c>
      <c r="J107" s="873">
        <f>J554</f>
        <v>16000</v>
      </c>
      <c r="K107" s="873">
        <f t="shared" si="1"/>
        <v>40000</v>
      </c>
    </row>
    <row r="108" spans="1:11" s="872" customFormat="1" ht="64.5" customHeight="1">
      <c r="A108" s="890"/>
      <c r="B108" s="1086" t="s">
        <v>1930</v>
      </c>
      <c r="C108" s="1087"/>
      <c r="D108" s="1087"/>
      <c r="E108" s="1087"/>
      <c r="F108" s="1088"/>
      <c r="G108" s="891"/>
      <c r="H108" s="892"/>
      <c r="I108" s="871">
        <f>SUM(I109:I110)</f>
        <v>68421.600000000006</v>
      </c>
      <c r="J108" s="871">
        <f>SUM(J109:J110)</f>
        <v>45614.400000000001</v>
      </c>
      <c r="K108" s="871">
        <f t="shared" si="1"/>
        <v>114036</v>
      </c>
    </row>
    <row r="109" spans="1:11" s="874" customFormat="1" ht="64.5" customHeight="1">
      <c r="A109" s="893" t="s">
        <v>2204</v>
      </c>
      <c r="B109" s="1083" t="s">
        <v>2205</v>
      </c>
      <c r="C109" s="1084"/>
      <c r="D109" s="1084"/>
      <c r="E109" s="1084"/>
      <c r="F109" s="1085"/>
      <c r="G109" s="894">
        <v>8100</v>
      </c>
      <c r="H109" s="895">
        <v>169711</v>
      </c>
      <c r="I109" s="873">
        <f>I768</f>
        <v>51321.599999999999</v>
      </c>
      <c r="J109" s="873">
        <f>J768</f>
        <v>34214.400000000001</v>
      </c>
      <c r="K109" s="873">
        <f t="shared" si="1"/>
        <v>85536</v>
      </c>
    </row>
    <row r="110" spans="1:11" s="874" customFormat="1" ht="64.5" customHeight="1">
      <c r="A110" s="893" t="s">
        <v>244</v>
      </c>
      <c r="B110" s="1083" t="s">
        <v>266</v>
      </c>
      <c r="C110" s="1084"/>
      <c r="D110" s="1084"/>
      <c r="E110" s="1084"/>
      <c r="F110" s="1085"/>
      <c r="G110" s="894">
        <v>8100</v>
      </c>
      <c r="H110" s="895">
        <v>169711</v>
      </c>
      <c r="I110" s="873">
        <f>I773</f>
        <v>17100</v>
      </c>
      <c r="J110" s="873">
        <f>J773</f>
        <v>11400</v>
      </c>
      <c r="K110" s="873">
        <f t="shared" si="1"/>
        <v>28500</v>
      </c>
    </row>
    <row r="111" spans="1:11" s="872" customFormat="1" ht="64.5" customHeight="1">
      <c r="A111" s="890"/>
      <c r="B111" s="1086" t="s">
        <v>1948</v>
      </c>
      <c r="C111" s="1087"/>
      <c r="D111" s="1087"/>
      <c r="E111" s="1087"/>
      <c r="F111" s="1088"/>
      <c r="G111" s="891"/>
      <c r="H111" s="892"/>
      <c r="I111" s="871">
        <f>SUM(I112:I113)</f>
        <v>61584.000000000007</v>
      </c>
      <c r="J111" s="871">
        <f>SUM(J112:J113)</f>
        <v>41056</v>
      </c>
      <c r="K111" s="871">
        <f t="shared" si="1"/>
        <v>102640</v>
      </c>
    </row>
    <row r="112" spans="1:11" s="874" customFormat="1" ht="64.5" customHeight="1">
      <c r="A112" s="893" t="s">
        <v>2204</v>
      </c>
      <c r="B112" s="1083" t="s">
        <v>2205</v>
      </c>
      <c r="C112" s="1084"/>
      <c r="D112" s="1084"/>
      <c r="E112" s="1084"/>
      <c r="F112" s="1085"/>
      <c r="G112" s="894">
        <v>8100</v>
      </c>
      <c r="H112" s="895">
        <v>169711</v>
      </c>
      <c r="I112" s="873">
        <f>I780</f>
        <v>55449.600000000006</v>
      </c>
      <c r="J112" s="873">
        <f>J780</f>
        <v>36966.400000000001</v>
      </c>
      <c r="K112" s="873">
        <f t="shared" si="1"/>
        <v>92416</v>
      </c>
    </row>
    <row r="113" spans="1:11" s="874" customFormat="1" ht="64.5" customHeight="1">
      <c r="A113" s="893" t="s">
        <v>244</v>
      </c>
      <c r="B113" s="1083" t="s">
        <v>266</v>
      </c>
      <c r="C113" s="1084"/>
      <c r="D113" s="1084"/>
      <c r="E113" s="1084"/>
      <c r="F113" s="1085"/>
      <c r="G113" s="894">
        <v>8100</v>
      </c>
      <c r="H113" s="895">
        <v>169711</v>
      </c>
      <c r="I113" s="873">
        <f>I784</f>
        <v>6134.4</v>
      </c>
      <c r="J113" s="873">
        <f>J784</f>
        <v>4089.6</v>
      </c>
      <c r="K113" s="873">
        <f t="shared" si="1"/>
        <v>10224</v>
      </c>
    </row>
    <row r="114" spans="1:11" s="872" customFormat="1" ht="64.5" customHeight="1">
      <c r="A114" s="890"/>
      <c r="B114" s="1086" t="s">
        <v>1710</v>
      </c>
      <c r="C114" s="1087"/>
      <c r="D114" s="1087"/>
      <c r="E114" s="1087"/>
      <c r="F114" s="1088"/>
      <c r="G114" s="891"/>
      <c r="H114" s="892"/>
      <c r="I114" s="871">
        <f>SUM(I115:I115)</f>
        <v>167322.6</v>
      </c>
      <c r="J114" s="871">
        <f>SUM(J115:J115)</f>
        <v>111548.4</v>
      </c>
      <c r="K114" s="871">
        <f t="shared" si="1"/>
        <v>278871</v>
      </c>
    </row>
    <row r="115" spans="1:11" s="874" customFormat="1" ht="64.5" customHeight="1">
      <c r="A115" s="893" t="s">
        <v>2204</v>
      </c>
      <c r="B115" s="1083" t="s">
        <v>2205</v>
      </c>
      <c r="C115" s="1084"/>
      <c r="D115" s="1084"/>
      <c r="E115" s="1084"/>
      <c r="F115" s="1085"/>
      <c r="G115" s="894">
        <v>8100</v>
      </c>
      <c r="H115" s="895">
        <v>169711</v>
      </c>
      <c r="I115" s="873">
        <f>I560</f>
        <v>167322.6</v>
      </c>
      <c r="J115" s="873">
        <f>J560</f>
        <v>111548.4</v>
      </c>
      <c r="K115" s="873">
        <f t="shared" si="1"/>
        <v>278871</v>
      </c>
    </row>
    <row r="116" spans="1:11" s="872" customFormat="1" ht="64.5" customHeight="1">
      <c r="A116" s="890"/>
      <c r="B116" s="1086" t="s">
        <v>1879</v>
      </c>
      <c r="C116" s="1087"/>
      <c r="D116" s="1087"/>
      <c r="E116" s="1087"/>
      <c r="F116" s="1088"/>
      <c r="G116" s="891"/>
      <c r="H116" s="892"/>
      <c r="I116" s="871">
        <f>SUM(I117:I118)</f>
        <v>79675.199999999997</v>
      </c>
      <c r="J116" s="871">
        <f>SUM(J117:J118)</f>
        <v>53116.800000000003</v>
      </c>
      <c r="K116" s="871">
        <f t="shared" si="1"/>
        <v>132792</v>
      </c>
    </row>
    <row r="117" spans="1:11" s="874" customFormat="1" ht="64.5" customHeight="1">
      <c r="A117" s="893" t="s">
        <v>2204</v>
      </c>
      <c r="B117" s="1083" t="s">
        <v>2205</v>
      </c>
      <c r="C117" s="1084"/>
      <c r="D117" s="1084"/>
      <c r="E117" s="1084"/>
      <c r="F117" s="1085"/>
      <c r="G117" s="894">
        <v>8100</v>
      </c>
      <c r="H117" s="895">
        <v>169711</v>
      </c>
      <c r="I117" s="873">
        <f>I790</f>
        <v>77275.199999999997</v>
      </c>
      <c r="J117" s="873">
        <f>J790</f>
        <v>51516.800000000003</v>
      </c>
      <c r="K117" s="873">
        <f t="shared" si="1"/>
        <v>128792</v>
      </c>
    </row>
    <row r="118" spans="1:11" s="874" customFormat="1" ht="64.5" customHeight="1">
      <c r="A118" s="893" t="s">
        <v>244</v>
      </c>
      <c r="B118" s="1083" t="s">
        <v>266</v>
      </c>
      <c r="C118" s="1084"/>
      <c r="D118" s="1084"/>
      <c r="E118" s="1084"/>
      <c r="F118" s="1085"/>
      <c r="G118" s="894">
        <v>8100</v>
      </c>
      <c r="H118" s="895">
        <v>169711</v>
      </c>
      <c r="I118" s="873">
        <f>I797</f>
        <v>2400</v>
      </c>
      <c r="J118" s="873">
        <f>J797</f>
        <v>1600</v>
      </c>
      <c r="K118" s="873">
        <f t="shared" si="1"/>
        <v>4000</v>
      </c>
    </row>
    <row r="119" spans="1:11" s="872" customFormat="1" ht="64.5" customHeight="1">
      <c r="A119" s="890"/>
      <c r="B119" s="1086" t="s">
        <v>1704</v>
      </c>
      <c r="C119" s="1087"/>
      <c r="D119" s="1087"/>
      <c r="E119" s="1087"/>
      <c r="F119" s="1088"/>
      <c r="G119" s="891"/>
      <c r="H119" s="892"/>
      <c r="I119" s="871">
        <f>SUM(I120:I123)</f>
        <v>777544.2</v>
      </c>
      <c r="J119" s="871">
        <f>SUM(J120:J123)</f>
        <v>439528.8</v>
      </c>
      <c r="K119" s="871">
        <f t="shared" si="1"/>
        <v>1217073</v>
      </c>
    </row>
    <row r="120" spans="1:11" s="874" customFormat="1" ht="64.5" customHeight="1">
      <c r="A120" s="893" t="s">
        <v>2204</v>
      </c>
      <c r="B120" s="1083" t="s">
        <v>2205</v>
      </c>
      <c r="C120" s="1084"/>
      <c r="D120" s="1084"/>
      <c r="E120" s="1084"/>
      <c r="F120" s="1085"/>
      <c r="G120" s="894">
        <v>8100</v>
      </c>
      <c r="H120" s="895">
        <v>169711</v>
      </c>
      <c r="I120" s="873">
        <f>I211</f>
        <v>36306.6</v>
      </c>
      <c r="J120" s="873">
        <f>J211</f>
        <v>24204.400000000001</v>
      </c>
      <c r="K120" s="873">
        <f t="shared" si="1"/>
        <v>60511</v>
      </c>
    </row>
    <row r="121" spans="1:11" s="874" customFormat="1" ht="64.5" customHeight="1">
      <c r="A121" s="893" t="s">
        <v>196</v>
      </c>
      <c r="B121" s="1083" t="s">
        <v>2206</v>
      </c>
      <c r="C121" s="1084"/>
      <c r="D121" s="1084"/>
      <c r="E121" s="1084"/>
      <c r="F121" s="1085"/>
      <c r="G121" s="894">
        <v>8100</v>
      </c>
      <c r="H121" s="895">
        <v>169714</v>
      </c>
      <c r="I121" s="873">
        <f>I213-I122</f>
        <v>692098.4</v>
      </c>
      <c r="J121" s="873">
        <f>J213-J122</f>
        <v>401061.6</v>
      </c>
      <c r="K121" s="873">
        <f t="shared" si="1"/>
        <v>1093160</v>
      </c>
    </row>
    <row r="122" spans="1:11" s="874" customFormat="1" ht="64.5" customHeight="1">
      <c r="A122" s="893"/>
      <c r="B122" s="1083" t="s">
        <v>2463</v>
      </c>
      <c r="C122" s="1084"/>
      <c r="D122" s="1084"/>
      <c r="E122" s="1084"/>
      <c r="F122" s="1085"/>
      <c r="G122" s="894">
        <v>8100</v>
      </c>
      <c r="H122" s="895">
        <v>169714</v>
      </c>
      <c r="I122" s="873">
        <f>I218+I219</f>
        <v>27745</v>
      </c>
      <c r="J122" s="873">
        <f>J218+J219</f>
        <v>0</v>
      </c>
      <c r="K122" s="873">
        <f>I122+J122</f>
        <v>27745</v>
      </c>
    </row>
    <row r="123" spans="1:11" s="874" customFormat="1" ht="64.5" customHeight="1">
      <c r="A123" s="893" t="s">
        <v>244</v>
      </c>
      <c r="B123" s="1083" t="s">
        <v>266</v>
      </c>
      <c r="C123" s="1084"/>
      <c r="D123" s="1084"/>
      <c r="E123" s="1084"/>
      <c r="F123" s="1085"/>
      <c r="G123" s="894">
        <v>8100</v>
      </c>
      <c r="H123" s="895">
        <v>169711</v>
      </c>
      <c r="I123" s="873">
        <f>I220</f>
        <v>21394.2</v>
      </c>
      <c r="J123" s="873">
        <f>J220</f>
        <v>14262.8</v>
      </c>
      <c r="K123" s="873">
        <f t="shared" si="1"/>
        <v>35657</v>
      </c>
    </row>
    <row r="124" spans="1:11" s="548" customFormat="1" ht="42" customHeight="1">
      <c r="A124" s="761"/>
      <c r="B124" s="760"/>
      <c r="C124" s="760"/>
      <c r="D124" s="760"/>
      <c r="E124" s="760"/>
      <c r="F124" s="760"/>
      <c r="G124" s="762"/>
      <c r="H124" s="762"/>
      <c r="I124" s="763"/>
      <c r="J124" s="763"/>
      <c r="K124" s="763"/>
    </row>
    <row r="125" spans="1:11" s="548" customFormat="1" ht="42" customHeight="1">
      <c r="A125" s="761"/>
      <c r="B125" s="760"/>
      <c r="C125" s="760"/>
      <c r="D125" s="760"/>
      <c r="E125" s="760"/>
      <c r="F125" s="760"/>
      <c r="G125" s="762"/>
      <c r="H125" s="762"/>
      <c r="I125" s="763"/>
      <c r="J125" s="763"/>
      <c r="K125" s="763"/>
    </row>
    <row r="126" spans="1:11" ht="45">
      <c r="A126" s="979" t="s">
        <v>51</v>
      </c>
      <c r="B126" s="979"/>
      <c r="C126" s="979"/>
      <c r="D126" s="979"/>
      <c r="E126" s="979"/>
      <c r="F126" s="979"/>
      <c r="G126" s="979"/>
      <c r="H126" s="979"/>
      <c r="I126" s="979"/>
      <c r="J126" s="979"/>
      <c r="K126" s="979"/>
    </row>
    <row r="127" spans="1:11" ht="45">
      <c r="A127" s="979" t="s">
        <v>52</v>
      </c>
      <c r="B127" s="979"/>
      <c r="C127" s="979"/>
      <c r="D127" s="979"/>
      <c r="E127" s="979"/>
      <c r="F127" s="979"/>
      <c r="G127" s="979"/>
      <c r="H127" s="979"/>
      <c r="I127" s="979"/>
      <c r="J127" s="979"/>
      <c r="K127" s="979"/>
    </row>
    <row r="128" spans="1:11" ht="45">
      <c r="A128" s="1040" t="s">
        <v>50</v>
      </c>
      <c r="B128" s="1040"/>
      <c r="C128" s="1040"/>
      <c r="D128" s="1040"/>
      <c r="E128" s="1040"/>
      <c r="F128" s="1040"/>
      <c r="G128" s="1040"/>
      <c r="H128" s="1040"/>
      <c r="I128" s="1040"/>
      <c r="J128" s="1040"/>
      <c r="K128" s="1040"/>
    </row>
    <row r="129" spans="1:11" ht="44.25">
      <c r="A129" s="736"/>
      <c r="B129" s="736"/>
      <c r="C129" s="736"/>
      <c r="D129" s="736"/>
      <c r="E129" s="736"/>
      <c r="F129" s="736"/>
      <c r="G129" s="838"/>
      <c r="H129" s="838"/>
      <c r="I129" s="838"/>
      <c r="J129" s="838"/>
      <c r="K129" s="838"/>
    </row>
    <row r="130" spans="1:11" ht="45">
      <c r="A130" s="979" t="s">
        <v>2214</v>
      </c>
      <c r="B130" s="979"/>
      <c r="C130" s="979"/>
      <c r="D130" s="979"/>
      <c r="E130" s="979"/>
      <c r="F130" s="979"/>
      <c r="G130" s="979"/>
      <c r="H130" s="979"/>
      <c r="I130" s="979"/>
      <c r="J130" s="979"/>
      <c r="K130" s="979"/>
    </row>
    <row r="131" spans="1:11" s="620" customFormat="1" ht="33">
      <c r="A131" s="65"/>
      <c r="B131" s="65"/>
      <c r="C131" s="65"/>
      <c r="D131" s="65"/>
      <c r="E131" s="65"/>
      <c r="F131" s="65"/>
      <c r="G131" s="68"/>
      <c r="H131" s="68"/>
      <c r="I131" s="68"/>
      <c r="J131" s="68"/>
      <c r="K131" s="68"/>
    </row>
    <row r="132" spans="1:11" ht="20.100000000000001" customHeight="1">
      <c r="A132" s="65"/>
      <c r="B132" s="65"/>
      <c r="C132" s="65"/>
      <c r="D132" s="65"/>
      <c r="E132" s="65"/>
      <c r="F132" s="65"/>
      <c r="G132" s="68"/>
      <c r="H132" s="68"/>
      <c r="I132" s="68"/>
      <c r="J132" s="68"/>
      <c r="K132" s="68"/>
    </row>
    <row r="133" spans="1:11" ht="20.100000000000001" customHeight="1">
      <c r="A133" s="979"/>
      <c r="B133" s="979"/>
      <c r="C133" s="979"/>
      <c r="D133" s="979"/>
      <c r="E133" s="979"/>
      <c r="F133" s="979"/>
      <c r="G133" s="979"/>
      <c r="H133" s="979"/>
      <c r="I133" s="979"/>
      <c r="J133" s="979"/>
      <c r="K133" s="979"/>
    </row>
    <row r="134" spans="1:11" ht="45.75" customHeight="1">
      <c r="A134" s="1029" t="s">
        <v>2492</v>
      </c>
      <c r="B134" s="1030"/>
      <c r="C134" s="1030"/>
      <c r="D134" s="1030"/>
      <c r="E134" s="1030"/>
      <c r="F134" s="1030"/>
      <c r="G134" s="1030"/>
      <c r="H134" s="1030"/>
      <c r="I134" s="1030"/>
      <c r="J134" s="1030"/>
      <c r="K134" s="1030"/>
    </row>
    <row r="135" spans="1:11" s="904" customFormat="1" ht="64.5" customHeight="1">
      <c r="A135" s="1094" t="s">
        <v>183</v>
      </c>
      <c r="B135" s="1094" t="s">
        <v>209</v>
      </c>
      <c r="C135" s="886"/>
      <c r="D135" s="886"/>
      <c r="E135" s="886"/>
      <c r="F135" s="887"/>
      <c r="G135" s="1078" t="s">
        <v>440</v>
      </c>
      <c r="H135" s="1080" t="s">
        <v>16</v>
      </c>
      <c r="I135" s="1082" t="s">
        <v>1490</v>
      </c>
      <c r="J135" s="1082" t="s">
        <v>2507</v>
      </c>
      <c r="K135" s="1089" t="s">
        <v>200</v>
      </c>
    </row>
    <row r="136" spans="1:11" s="904" customFormat="1" ht="64.5" customHeight="1">
      <c r="A136" s="1095"/>
      <c r="B136" s="1095"/>
      <c r="C136" s="888"/>
      <c r="D136" s="888"/>
      <c r="E136" s="888"/>
      <c r="F136" s="889"/>
      <c r="G136" s="1079"/>
      <c r="H136" s="1081"/>
      <c r="I136" s="1082"/>
      <c r="J136" s="1082"/>
      <c r="K136" s="1090"/>
    </row>
    <row r="137" spans="1:11" s="872" customFormat="1" ht="64.5" customHeight="1">
      <c r="A137" s="890"/>
      <c r="B137" s="1086" t="s">
        <v>1844</v>
      </c>
      <c r="C137" s="1087"/>
      <c r="D137" s="1087"/>
      <c r="E137" s="1087"/>
      <c r="F137" s="1088"/>
      <c r="G137" s="891"/>
      <c r="H137" s="892"/>
      <c r="I137" s="871">
        <f>SUM(I138:I141)</f>
        <v>113415.6</v>
      </c>
      <c r="J137" s="871">
        <f>SUM(J138:J141)</f>
        <v>75610.399999999994</v>
      </c>
      <c r="K137" s="871">
        <f t="shared" ref="K137:K194" si="2">I137+J137</f>
        <v>189026</v>
      </c>
    </row>
    <row r="138" spans="1:11" s="874" customFormat="1" ht="64.5" customHeight="1">
      <c r="A138" s="893" t="s">
        <v>2275</v>
      </c>
      <c r="B138" s="1083" t="s">
        <v>2212</v>
      </c>
      <c r="C138" s="1084"/>
      <c r="D138" s="1084"/>
      <c r="E138" s="1084"/>
      <c r="F138" s="1085"/>
      <c r="G138" s="894">
        <v>8100</v>
      </c>
      <c r="H138" s="895">
        <v>169711</v>
      </c>
      <c r="I138" s="873">
        <f>I593</f>
        <v>54003</v>
      </c>
      <c r="J138" s="873">
        <f>J593</f>
        <v>36002</v>
      </c>
      <c r="K138" s="873">
        <f t="shared" si="2"/>
        <v>90005</v>
      </c>
    </row>
    <row r="139" spans="1:11" s="874" customFormat="1" ht="64.5" customHeight="1">
      <c r="A139" s="893" t="s">
        <v>2204</v>
      </c>
      <c r="B139" s="1083" t="s">
        <v>2205</v>
      </c>
      <c r="C139" s="1084"/>
      <c r="D139" s="1084"/>
      <c r="E139" s="1084"/>
      <c r="F139" s="1085"/>
      <c r="G139" s="894">
        <v>8100</v>
      </c>
      <c r="H139" s="895">
        <v>169711</v>
      </c>
      <c r="I139" s="873">
        <f>I598</f>
        <v>48394.8</v>
      </c>
      <c r="J139" s="873">
        <f>J598</f>
        <v>32263.199999999997</v>
      </c>
      <c r="K139" s="873">
        <f t="shared" si="2"/>
        <v>80658</v>
      </c>
    </row>
    <row r="140" spans="1:11" s="874" customFormat="1" ht="64.5" customHeight="1">
      <c r="A140" s="893" t="s">
        <v>193</v>
      </c>
      <c r="B140" s="1083" t="s">
        <v>1476</v>
      </c>
      <c r="C140" s="1084"/>
      <c r="D140" s="1084"/>
      <c r="E140" s="1084"/>
      <c r="F140" s="1085"/>
      <c r="G140" s="894">
        <v>8100</v>
      </c>
      <c r="H140" s="896" t="s">
        <v>2445</v>
      </c>
      <c r="I140" s="873">
        <f>I607</f>
        <v>3900</v>
      </c>
      <c r="J140" s="873">
        <f>J607</f>
        <v>2600</v>
      </c>
      <c r="K140" s="873">
        <f t="shared" si="2"/>
        <v>6500</v>
      </c>
    </row>
    <row r="141" spans="1:11" s="874" customFormat="1" ht="64.5" customHeight="1">
      <c r="A141" s="893" t="s">
        <v>244</v>
      </c>
      <c r="B141" s="1083" t="s">
        <v>266</v>
      </c>
      <c r="C141" s="1084"/>
      <c r="D141" s="1084"/>
      <c r="E141" s="1084"/>
      <c r="F141" s="1085"/>
      <c r="G141" s="894">
        <v>8100</v>
      </c>
      <c r="H141" s="895">
        <v>169711</v>
      </c>
      <c r="I141" s="873">
        <f>I609</f>
        <v>7117.7999999999993</v>
      </c>
      <c r="J141" s="873">
        <f>J609</f>
        <v>4745.2</v>
      </c>
      <c r="K141" s="873">
        <f t="shared" si="2"/>
        <v>11863</v>
      </c>
    </row>
    <row r="142" spans="1:11" s="872" customFormat="1" ht="64.5" customHeight="1">
      <c r="A142" s="890"/>
      <c r="B142" s="1086" t="s">
        <v>2047</v>
      </c>
      <c r="C142" s="1087"/>
      <c r="D142" s="1087"/>
      <c r="E142" s="1087"/>
      <c r="F142" s="1088"/>
      <c r="G142" s="891"/>
      <c r="H142" s="892"/>
      <c r="I142" s="871">
        <f>SUM(I143:I146)</f>
        <v>499128.00000000006</v>
      </c>
      <c r="J142" s="871">
        <f>SUM(J143:J146)</f>
        <v>332752</v>
      </c>
      <c r="K142" s="871">
        <f t="shared" si="2"/>
        <v>831880</v>
      </c>
    </row>
    <row r="143" spans="1:11" s="874" customFormat="1" ht="64.5" customHeight="1">
      <c r="A143" s="893" t="s">
        <v>2275</v>
      </c>
      <c r="B143" s="1083" t="s">
        <v>2212</v>
      </c>
      <c r="C143" s="1084"/>
      <c r="D143" s="1084"/>
      <c r="E143" s="1084"/>
      <c r="F143" s="1085"/>
      <c r="G143" s="894">
        <v>8100</v>
      </c>
      <c r="H143" s="895">
        <v>169711</v>
      </c>
      <c r="I143" s="873">
        <f>I961</f>
        <v>192533.4</v>
      </c>
      <c r="J143" s="873">
        <f>J961</f>
        <v>128355.6</v>
      </c>
      <c r="K143" s="873">
        <f t="shared" si="2"/>
        <v>320889</v>
      </c>
    </row>
    <row r="144" spans="1:11" s="874" customFormat="1" ht="64.5" customHeight="1">
      <c r="A144" s="893" t="s">
        <v>2204</v>
      </c>
      <c r="B144" s="1083" t="s">
        <v>2205</v>
      </c>
      <c r="C144" s="1084"/>
      <c r="D144" s="1084"/>
      <c r="E144" s="1084"/>
      <c r="F144" s="1085"/>
      <c r="G144" s="894">
        <v>8100</v>
      </c>
      <c r="H144" s="895">
        <v>169711</v>
      </c>
      <c r="I144" s="873">
        <f>I968</f>
        <v>232736.40000000002</v>
      </c>
      <c r="J144" s="873">
        <f>J968</f>
        <v>155157.6</v>
      </c>
      <c r="K144" s="873">
        <f t="shared" si="2"/>
        <v>387894</v>
      </c>
    </row>
    <row r="145" spans="1:11" s="874" customFormat="1" ht="64.5" customHeight="1">
      <c r="A145" s="893" t="s">
        <v>193</v>
      </c>
      <c r="B145" s="1083" t="s">
        <v>1476</v>
      </c>
      <c r="C145" s="1084"/>
      <c r="D145" s="1084"/>
      <c r="E145" s="1084"/>
      <c r="F145" s="1085"/>
      <c r="G145" s="894">
        <v>8100</v>
      </c>
      <c r="H145" s="896" t="s">
        <v>2445</v>
      </c>
      <c r="I145" s="873">
        <f>I974</f>
        <v>16200</v>
      </c>
      <c r="J145" s="873">
        <f>J974</f>
        <v>10800</v>
      </c>
      <c r="K145" s="873">
        <f t="shared" si="2"/>
        <v>27000</v>
      </c>
    </row>
    <row r="146" spans="1:11" s="874" customFormat="1" ht="64.5" customHeight="1">
      <c r="A146" s="893" t="s">
        <v>244</v>
      </c>
      <c r="B146" s="1083" t="s">
        <v>266</v>
      </c>
      <c r="C146" s="1084"/>
      <c r="D146" s="1084"/>
      <c r="E146" s="1084"/>
      <c r="F146" s="1085"/>
      <c r="G146" s="894">
        <v>8100</v>
      </c>
      <c r="H146" s="895">
        <v>169711</v>
      </c>
      <c r="I146" s="873">
        <f>I976</f>
        <v>57658.2</v>
      </c>
      <c r="J146" s="873">
        <f>J976</f>
        <v>38438.800000000003</v>
      </c>
      <c r="K146" s="873">
        <f t="shared" si="2"/>
        <v>96097</v>
      </c>
    </row>
    <row r="147" spans="1:11" s="872" customFormat="1" ht="64.5" customHeight="1">
      <c r="A147" s="890"/>
      <c r="B147" s="1086" t="s">
        <v>2070</v>
      </c>
      <c r="C147" s="1087"/>
      <c r="D147" s="1087"/>
      <c r="E147" s="1087"/>
      <c r="F147" s="1088"/>
      <c r="G147" s="891"/>
      <c r="H147" s="892"/>
      <c r="I147" s="871">
        <f>SUM(I148:I150)</f>
        <v>186247.8</v>
      </c>
      <c r="J147" s="871">
        <f>SUM(J148:J150)</f>
        <v>124165.20000000001</v>
      </c>
      <c r="K147" s="871">
        <f t="shared" si="2"/>
        <v>310413</v>
      </c>
    </row>
    <row r="148" spans="1:11" s="874" customFormat="1" ht="64.5" customHeight="1">
      <c r="A148" s="893" t="s">
        <v>2275</v>
      </c>
      <c r="B148" s="1083" t="s">
        <v>2212</v>
      </c>
      <c r="C148" s="1084"/>
      <c r="D148" s="1084"/>
      <c r="E148" s="1084"/>
      <c r="F148" s="1085"/>
      <c r="G148" s="894">
        <v>8100</v>
      </c>
      <c r="H148" s="895">
        <v>169711</v>
      </c>
      <c r="I148" s="873">
        <f>I984</f>
        <v>3600</v>
      </c>
      <c r="J148" s="873">
        <f>J984</f>
        <v>2400</v>
      </c>
      <c r="K148" s="873">
        <f t="shared" si="2"/>
        <v>6000</v>
      </c>
    </row>
    <row r="149" spans="1:11" s="874" customFormat="1" ht="64.5" customHeight="1">
      <c r="A149" s="893" t="s">
        <v>2204</v>
      </c>
      <c r="B149" s="1083" t="s">
        <v>2205</v>
      </c>
      <c r="C149" s="1084"/>
      <c r="D149" s="1084"/>
      <c r="E149" s="1084"/>
      <c r="F149" s="1085"/>
      <c r="G149" s="894">
        <v>8100</v>
      </c>
      <c r="H149" s="895">
        <v>169711</v>
      </c>
      <c r="I149" s="873">
        <f>I986</f>
        <v>177415.8</v>
      </c>
      <c r="J149" s="873">
        <f>J986</f>
        <v>118277.20000000001</v>
      </c>
      <c r="K149" s="873">
        <f t="shared" si="2"/>
        <v>295693</v>
      </c>
    </row>
    <row r="150" spans="1:11" s="874" customFormat="1" ht="64.5" customHeight="1">
      <c r="A150" s="893" t="s">
        <v>244</v>
      </c>
      <c r="B150" s="1083" t="s">
        <v>266</v>
      </c>
      <c r="C150" s="1084"/>
      <c r="D150" s="1084"/>
      <c r="E150" s="1084"/>
      <c r="F150" s="1085"/>
      <c r="G150" s="894">
        <v>8100</v>
      </c>
      <c r="H150" s="895">
        <v>169711</v>
      </c>
      <c r="I150" s="873">
        <f>I990</f>
        <v>5232</v>
      </c>
      <c r="J150" s="873">
        <f>J990</f>
        <v>3488</v>
      </c>
      <c r="K150" s="873">
        <f t="shared" si="2"/>
        <v>8720</v>
      </c>
    </row>
    <row r="151" spans="1:11" s="872" customFormat="1" ht="64.5" customHeight="1">
      <c r="A151" s="890"/>
      <c r="B151" s="1086" t="s">
        <v>2137</v>
      </c>
      <c r="C151" s="1087"/>
      <c r="D151" s="1087"/>
      <c r="E151" s="1087"/>
      <c r="F151" s="1088"/>
      <c r="G151" s="891"/>
      <c r="H151" s="892"/>
      <c r="I151" s="871">
        <f>SUM(I152:I155)</f>
        <v>284751.00000000006</v>
      </c>
      <c r="J151" s="871">
        <f>SUM(J152:J155)</f>
        <v>189834</v>
      </c>
      <c r="K151" s="871">
        <f t="shared" si="2"/>
        <v>474585.00000000006</v>
      </c>
    </row>
    <row r="152" spans="1:11" s="874" customFormat="1" ht="64.5" customHeight="1">
      <c r="A152" s="893" t="s">
        <v>2275</v>
      </c>
      <c r="B152" s="1083" t="s">
        <v>2212</v>
      </c>
      <c r="C152" s="1084"/>
      <c r="D152" s="1084"/>
      <c r="E152" s="1084"/>
      <c r="F152" s="1085"/>
      <c r="G152" s="894">
        <v>8100</v>
      </c>
      <c r="H152" s="895">
        <v>169711</v>
      </c>
      <c r="I152" s="873">
        <f>I1006</f>
        <v>50820</v>
      </c>
      <c r="J152" s="873">
        <f>J1006</f>
        <v>33880</v>
      </c>
      <c r="K152" s="873">
        <f t="shared" si="2"/>
        <v>84700</v>
      </c>
    </row>
    <row r="153" spans="1:11" s="874" customFormat="1" ht="64.5" customHeight="1">
      <c r="A153" s="893" t="s">
        <v>2204</v>
      </c>
      <c r="B153" s="1083" t="s">
        <v>2205</v>
      </c>
      <c r="C153" s="1084"/>
      <c r="D153" s="1084"/>
      <c r="E153" s="1084"/>
      <c r="F153" s="1085"/>
      <c r="G153" s="894">
        <v>8100</v>
      </c>
      <c r="H153" s="895">
        <v>169711</v>
      </c>
      <c r="I153" s="873">
        <f>I1008</f>
        <v>196490.22000000003</v>
      </c>
      <c r="J153" s="873">
        <f>J1008</f>
        <v>130993.48000000001</v>
      </c>
      <c r="K153" s="873">
        <f t="shared" si="2"/>
        <v>327483.70000000007</v>
      </c>
    </row>
    <row r="154" spans="1:11" s="874" customFormat="1" ht="64.5" customHeight="1">
      <c r="A154" s="893" t="s">
        <v>193</v>
      </c>
      <c r="B154" s="1083" t="s">
        <v>1476</v>
      </c>
      <c r="C154" s="1084"/>
      <c r="D154" s="1084"/>
      <c r="E154" s="1084"/>
      <c r="F154" s="1085"/>
      <c r="G154" s="894">
        <v>8100</v>
      </c>
      <c r="H154" s="896" t="s">
        <v>2445</v>
      </c>
      <c r="I154" s="873">
        <f>I1018</f>
        <v>31986.780000000002</v>
      </c>
      <c r="J154" s="873">
        <f>J1018</f>
        <v>21324.520000000004</v>
      </c>
      <c r="K154" s="873">
        <f t="shared" si="2"/>
        <v>53311.3</v>
      </c>
    </row>
    <row r="155" spans="1:11" s="874" customFormat="1" ht="64.5" customHeight="1">
      <c r="A155" s="893" t="s">
        <v>244</v>
      </c>
      <c r="B155" s="1083" t="s">
        <v>266</v>
      </c>
      <c r="C155" s="1084"/>
      <c r="D155" s="1084"/>
      <c r="E155" s="1084"/>
      <c r="F155" s="1085"/>
      <c r="G155" s="894">
        <v>8100</v>
      </c>
      <c r="H155" s="895">
        <v>169711</v>
      </c>
      <c r="I155" s="873">
        <f>I1020</f>
        <v>5454</v>
      </c>
      <c r="J155" s="873">
        <f>J1020</f>
        <v>3636</v>
      </c>
      <c r="K155" s="873">
        <f t="shared" si="2"/>
        <v>9090</v>
      </c>
    </row>
    <row r="156" spans="1:11" s="872" customFormat="1" ht="64.5" customHeight="1">
      <c r="A156" s="890"/>
      <c r="B156" s="1086" t="s">
        <v>2174</v>
      </c>
      <c r="C156" s="1087"/>
      <c r="D156" s="1087"/>
      <c r="E156" s="1087"/>
      <c r="F156" s="1088"/>
      <c r="G156" s="891"/>
      <c r="H156" s="892"/>
      <c r="I156" s="871">
        <f>SUM(I157:I159)</f>
        <v>65636.399999999994</v>
      </c>
      <c r="J156" s="871">
        <f>SUM(J157:J159)</f>
        <v>43757.599999999999</v>
      </c>
      <c r="K156" s="871">
        <f t="shared" si="2"/>
        <v>109394</v>
      </c>
    </row>
    <row r="157" spans="1:11" s="874" customFormat="1" ht="64.5" customHeight="1">
      <c r="A157" s="893" t="s">
        <v>2204</v>
      </c>
      <c r="B157" s="1083" t="s">
        <v>2205</v>
      </c>
      <c r="C157" s="1084"/>
      <c r="D157" s="1084"/>
      <c r="E157" s="1084"/>
      <c r="F157" s="1085"/>
      <c r="G157" s="894">
        <v>8100</v>
      </c>
      <c r="H157" s="895">
        <v>169711</v>
      </c>
      <c r="I157" s="873">
        <f>I1026</f>
        <v>56276.4</v>
      </c>
      <c r="J157" s="873">
        <f>J1026</f>
        <v>37517.599999999999</v>
      </c>
      <c r="K157" s="873">
        <f t="shared" si="2"/>
        <v>93794</v>
      </c>
    </row>
    <row r="158" spans="1:11" s="874" customFormat="1" ht="64.5" customHeight="1">
      <c r="A158" s="893" t="s">
        <v>193</v>
      </c>
      <c r="B158" s="1083" t="s">
        <v>1476</v>
      </c>
      <c r="C158" s="1084"/>
      <c r="D158" s="1084"/>
      <c r="E158" s="1084"/>
      <c r="F158" s="1085"/>
      <c r="G158" s="894">
        <v>8100</v>
      </c>
      <c r="H158" s="896" t="s">
        <v>2445</v>
      </c>
      <c r="I158" s="873">
        <f>I1032</f>
        <v>3960</v>
      </c>
      <c r="J158" s="873">
        <f>J1032</f>
        <v>2640</v>
      </c>
      <c r="K158" s="873">
        <f t="shared" si="2"/>
        <v>6600</v>
      </c>
    </row>
    <row r="159" spans="1:11" s="874" customFormat="1" ht="64.5" customHeight="1">
      <c r="A159" s="893" t="s">
        <v>244</v>
      </c>
      <c r="B159" s="1083" t="s">
        <v>266</v>
      </c>
      <c r="C159" s="1084"/>
      <c r="D159" s="1084"/>
      <c r="E159" s="1084"/>
      <c r="F159" s="1085"/>
      <c r="G159" s="894">
        <v>8100</v>
      </c>
      <c r="H159" s="895">
        <v>169711</v>
      </c>
      <c r="I159" s="873">
        <f>I1034</f>
        <v>5400</v>
      </c>
      <c r="J159" s="873">
        <f>J1034</f>
        <v>3600</v>
      </c>
      <c r="K159" s="873">
        <f t="shared" si="2"/>
        <v>9000</v>
      </c>
    </row>
    <row r="160" spans="1:11" s="872" customFormat="1" ht="64.5" customHeight="1">
      <c r="A160" s="890"/>
      <c r="B160" s="1086" t="s">
        <v>2003</v>
      </c>
      <c r="C160" s="1087"/>
      <c r="D160" s="1087"/>
      <c r="E160" s="1087"/>
      <c r="F160" s="1088"/>
      <c r="G160" s="891"/>
      <c r="H160" s="892"/>
      <c r="I160" s="871">
        <f>SUM(I161:I164)</f>
        <v>215945.4</v>
      </c>
      <c r="J160" s="871">
        <f>SUM(J161:J164)</f>
        <v>143963.6</v>
      </c>
      <c r="K160" s="871">
        <f t="shared" si="2"/>
        <v>359909</v>
      </c>
    </row>
    <row r="161" spans="1:11" s="874" customFormat="1" ht="64.5" customHeight="1">
      <c r="A161" s="893" t="s">
        <v>2275</v>
      </c>
      <c r="B161" s="1083" t="s">
        <v>2212</v>
      </c>
      <c r="C161" s="1084"/>
      <c r="D161" s="1084"/>
      <c r="E161" s="1084"/>
      <c r="F161" s="1085"/>
      <c r="G161" s="894">
        <v>8100</v>
      </c>
      <c r="H161" s="895">
        <v>169711</v>
      </c>
      <c r="I161" s="873">
        <f>I1050</f>
        <v>35784</v>
      </c>
      <c r="J161" s="873">
        <f>J1050</f>
        <v>23856</v>
      </c>
      <c r="K161" s="873">
        <f t="shared" si="2"/>
        <v>59640</v>
      </c>
    </row>
    <row r="162" spans="1:11" s="874" customFormat="1" ht="64.5" customHeight="1">
      <c r="A162" s="893" t="s">
        <v>2204</v>
      </c>
      <c r="B162" s="1083" t="s">
        <v>2205</v>
      </c>
      <c r="C162" s="1084"/>
      <c r="D162" s="1084"/>
      <c r="E162" s="1084"/>
      <c r="F162" s="1085"/>
      <c r="G162" s="894">
        <v>8100</v>
      </c>
      <c r="H162" s="895">
        <v>169711</v>
      </c>
      <c r="I162" s="873">
        <f>I1053</f>
        <v>143924.4</v>
      </c>
      <c r="J162" s="873">
        <f>J1053</f>
        <v>95949.6</v>
      </c>
      <c r="K162" s="873">
        <f t="shared" si="2"/>
        <v>239874</v>
      </c>
    </row>
    <row r="163" spans="1:11" s="874" customFormat="1" ht="64.5" customHeight="1">
      <c r="A163" s="893" t="s">
        <v>193</v>
      </c>
      <c r="B163" s="1083" t="s">
        <v>1476</v>
      </c>
      <c r="C163" s="1084"/>
      <c r="D163" s="1084"/>
      <c r="E163" s="1084"/>
      <c r="F163" s="1085"/>
      <c r="G163" s="894">
        <v>8100</v>
      </c>
      <c r="H163" s="896" t="s">
        <v>2445</v>
      </c>
      <c r="I163" s="873">
        <f>I1060</f>
        <v>18000</v>
      </c>
      <c r="J163" s="873">
        <f>J1060</f>
        <v>12000</v>
      </c>
      <c r="K163" s="873">
        <f t="shared" si="2"/>
        <v>30000</v>
      </c>
    </row>
    <row r="164" spans="1:11" s="874" customFormat="1" ht="64.5" customHeight="1">
      <c r="A164" s="893" t="s">
        <v>244</v>
      </c>
      <c r="B164" s="1083" t="s">
        <v>266</v>
      </c>
      <c r="C164" s="1084"/>
      <c r="D164" s="1084"/>
      <c r="E164" s="1084"/>
      <c r="F164" s="1085"/>
      <c r="G164" s="894">
        <v>8100</v>
      </c>
      <c r="H164" s="895">
        <v>169711</v>
      </c>
      <c r="I164" s="873">
        <f>I1062</f>
        <v>18237</v>
      </c>
      <c r="J164" s="873">
        <f>J1062</f>
        <v>12158</v>
      </c>
      <c r="K164" s="873">
        <f t="shared" si="2"/>
        <v>30395</v>
      </c>
    </row>
    <row r="165" spans="1:11" s="872" customFormat="1" ht="64.5" customHeight="1">
      <c r="A165" s="890"/>
      <c r="B165" s="897" t="s">
        <v>2082</v>
      </c>
      <c r="C165" s="898"/>
      <c r="D165" s="898"/>
      <c r="E165" s="898"/>
      <c r="F165" s="899"/>
      <c r="G165" s="891"/>
      <c r="H165" s="892"/>
      <c r="I165" s="871">
        <f>SUM(I166:I169)</f>
        <v>280201.8</v>
      </c>
      <c r="J165" s="871">
        <f>SUM(J166:J169)</f>
        <v>186801.2</v>
      </c>
      <c r="K165" s="871">
        <f t="shared" si="2"/>
        <v>467003</v>
      </c>
    </row>
    <row r="166" spans="1:11" s="874" customFormat="1" ht="64.5" customHeight="1">
      <c r="A166" s="893" t="s">
        <v>2275</v>
      </c>
      <c r="B166" s="1083" t="s">
        <v>2212</v>
      </c>
      <c r="C166" s="1084"/>
      <c r="D166" s="1084"/>
      <c r="E166" s="1084"/>
      <c r="F166" s="1085"/>
      <c r="G166" s="894">
        <v>8100</v>
      </c>
      <c r="H166" s="895">
        <v>169711</v>
      </c>
      <c r="I166" s="873">
        <f>I1079</f>
        <v>103200</v>
      </c>
      <c r="J166" s="873">
        <f>J1079</f>
        <v>68800</v>
      </c>
      <c r="K166" s="873">
        <f t="shared" si="2"/>
        <v>172000</v>
      </c>
    </row>
    <row r="167" spans="1:11" s="874" customFormat="1" ht="64.5" customHeight="1">
      <c r="A167" s="893" t="s">
        <v>2204</v>
      </c>
      <c r="B167" s="1083" t="s">
        <v>2205</v>
      </c>
      <c r="C167" s="1084"/>
      <c r="D167" s="1084"/>
      <c r="E167" s="1084"/>
      <c r="F167" s="1085"/>
      <c r="G167" s="894">
        <v>8100</v>
      </c>
      <c r="H167" s="895">
        <v>169711</v>
      </c>
      <c r="I167" s="873">
        <f>I1083</f>
        <v>153001.79999999999</v>
      </c>
      <c r="J167" s="873">
        <f>J1083</f>
        <v>102001.2</v>
      </c>
      <c r="K167" s="873">
        <f t="shared" si="2"/>
        <v>255003</v>
      </c>
    </row>
    <row r="168" spans="1:11" s="874" customFormat="1" ht="64.5" customHeight="1">
      <c r="A168" s="893" t="s">
        <v>193</v>
      </c>
      <c r="B168" s="1083" t="s">
        <v>1476</v>
      </c>
      <c r="C168" s="1084"/>
      <c r="D168" s="1084"/>
      <c r="E168" s="1084"/>
      <c r="F168" s="1085"/>
      <c r="G168" s="894">
        <v>8100</v>
      </c>
      <c r="H168" s="896" t="s">
        <v>2445</v>
      </c>
      <c r="I168" s="873">
        <f>I1090</f>
        <v>12000</v>
      </c>
      <c r="J168" s="873">
        <f>J1090</f>
        <v>8000</v>
      </c>
      <c r="K168" s="873">
        <f t="shared" si="2"/>
        <v>20000</v>
      </c>
    </row>
    <row r="169" spans="1:11" s="874" customFormat="1" ht="64.5" customHeight="1">
      <c r="A169" s="893" t="s">
        <v>244</v>
      </c>
      <c r="B169" s="1083" t="s">
        <v>266</v>
      </c>
      <c r="C169" s="1084"/>
      <c r="D169" s="1084"/>
      <c r="E169" s="1084"/>
      <c r="F169" s="1085"/>
      <c r="G169" s="894">
        <v>8100</v>
      </c>
      <c r="H169" s="895">
        <v>169711</v>
      </c>
      <c r="I169" s="873">
        <f>I1092</f>
        <v>12000</v>
      </c>
      <c r="J169" s="873">
        <f>J1092</f>
        <v>8000</v>
      </c>
      <c r="K169" s="873">
        <f t="shared" si="2"/>
        <v>20000</v>
      </c>
    </row>
    <row r="170" spans="1:11" s="872" customFormat="1" ht="64.5" customHeight="1">
      <c r="A170" s="890"/>
      <c r="B170" s="1086" t="s">
        <v>1805</v>
      </c>
      <c r="C170" s="1087"/>
      <c r="D170" s="1087"/>
      <c r="E170" s="1087"/>
      <c r="F170" s="1088"/>
      <c r="G170" s="891"/>
      <c r="H170" s="892"/>
      <c r="I170" s="871">
        <f>SUM(I171:I175)</f>
        <v>250761.19999999998</v>
      </c>
      <c r="J170" s="871">
        <f>SUM(J171:J175)</f>
        <v>139238.79999999999</v>
      </c>
      <c r="K170" s="871">
        <f t="shared" si="2"/>
        <v>390000</v>
      </c>
    </row>
    <row r="171" spans="1:11" s="874" customFormat="1" ht="64.5" customHeight="1">
      <c r="A171" s="893" t="s">
        <v>2204</v>
      </c>
      <c r="B171" s="1083" t="s">
        <v>2205</v>
      </c>
      <c r="C171" s="1084"/>
      <c r="D171" s="1084"/>
      <c r="E171" s="1084"/>
      <c r="F171" s="1085"/>
      <c r="G171" s="894">
        <v>8100</v>
      </c>
      <c r="H171" s="895">
        <v>169711</v>
      </c>
      <c r="I171" s="873">
        <f>I638</f>
        <v>21299.4</v>
      </c>
      <c r="J171" s="873">
        <f>J638</f>
        <v>14199.6</v>
      </c>
      <c r="K171" s="873">
        <f t="shared" si="2"/>
        <v>35499</v>
      </c>
    </row>
    <row r="172" spans="1:11" s="874" customFormat="1" ht="64.5" customHeight="1">
      <c r="A172" s="893" t="s">
        <v>193</v>
      </c>
      <c r="B172" s="1083" t="s">
        <v>1476</v>
      </c>
      <c r="C172" s="1084"/>
      <c r="D172" s="1084"/>
      <c r="E172" s="1084"/>
      <c r="F172" s="1085"/>
      <c r="G172" s="894">
        <v>8100</v>
      </c>
      <c r="H172" s="896" t="s">
        <v>2445</v>
      </c>
      <c r="I172" s="873">
        <f>I644</f>
        <v>4800</v>
      </c>
      <c r="J172" s="873">
        <f>J644</f>
        <v>3200</v>
      </c>
      <c r="K172" s="873">
        <f t="shared" si="2"/>
        <v>8000</v>
      </c>
    </row>
    <row r="173" spans="1:11" s="874" customFormat="1" ht="64.5" customHeight="1">
      <c r="A173" s="893" t="s">
        <v>244</v>
      </c>
      <c r="B173" s="1083" t="s">
        <v>266</v>
      </c>
      <c r="C173" s="1084"/>
      <c r="D173" s="1084"/>
      <c r="E173" s="1084"/>
      <c r="F173" s="1085"/>
      <c r="G173" s="894">
        <v>8100</v>
      </c>
      <c r="H173" s="895">
        <v>169711</v>
      </c>
      <c r="I173" s="873">
        <f>I646</f>
        <v>10500</v>
      </c>
      <c r="J173" s="873">
        <f>J646</f>
        <v>7000</v>
      </c>
      <c r="K173" s="873">
        <f t="shared" si="2"/>
        <v>17500</v>
      </c>
    </row>
    <row r="174" spans="1:11" s="874" customFormat="1" ht="64.5" customHeight="1">
      <c r="A174" s="893" t="s">
        <v>417</v>
      </c>
      <c r="B174" s="1083" t="s">
        <v>2207</v>
      </c>
      <c r="C174" s="1084"/>
      <c r="D174" s="1084"/>
      <c r="E174" s="1084"/>
      <c r="F174" s="1085"/>
      <c r="G174" s="894">
        <v>8100</v>
      </c>
      <c r="H174" s="895">
        <v>169716</v>
      </c>
      <c r="I174" s="873">
        <f>I649</f>
        <v>205485.8</v>
      </c>
      <c r="J174" s="873">
        <f>J649</f>
        <v>114839.2</v>
      </c>
      <c r="K174" s="873">
        <f t="shared" si="2"/>
        <v>320325</v>
      </c>
    </row>
    <row r="175" spans="1:11" s="874" customFormat="1" ht="64.5" customHeight="1">
      <c r="A175" s="893" t="s">
        <v>417</v>
      </c>
      <c r="B175" s="1083" t="s">
        <v>2471</v>
      </c>
      <c r="C175" s="1084"/>
      <c r="D175" s="1084"/>
      <c r="E175" s="1084"/>
      <c r="F175" s="1085"/>
      <c r="G175" s="894"/>
      <c r="H175" s="895"/>
      <c r="I175" s="873">
        <f>I663+I664</f>
        <v>8676</v>
      </c>
      <c r="J175" s="873">
        <f>J663+J664</f>
        <v>0</v>
      </c>
      <c r="K175" s="873">
        <f>I175+J175</f>
        <v>8676</v>
      </c>
    </row>
    <row r="176" spans="1:11" s="872" customFormat="1" ht="64.5" customHeight="1">
      <c r="A176" s="890"/>
      <c r="B176" s="1086" t="s">
        <v>1901</v>
      </c>
      <c r="C176" s="1087"/>
      <c r="D176" s="1087"/>
      <c r="E176" s="1087"/>
      <c r="F176" s="1088"/>
      <c r="G176" s="891"/>
      <c r="H176" s="892"/>
      <c r="I176" s="871">
        <f>SUM(I177:I179)</f>
        <v>44001.468000000001</v>
      </c>
      <c r="J176" s="871">
        <f>SUM(J177:J179)</f>
        <v>29334.311999999998</v>
      </c>
      <c r="K176" s="871">
        <f t="shared" si="2"/>
        <v>73335.78</v>
      </c>
    </row>
    <row r="177" spans="1:11" s="874" customFormat="1" ht="64.5" customHeight="1">
      <c r="A177" s="893" t="s">
        <v>2204</v>
      </c>
      <c r="B177" s="1083" t="s">
        <v>2205</v>
      </c>
      <c r="C177" s="1084"/>
      <c r="D177" s="1084"/>
      <c r="E177" s="1084"/>
      <c r="F177" s="1085"/>
      <c r="G177" s="894">
        <v>8100</v>
      </c>
      <c r="H177" s="895">
        <v>169711</v>
      </c>
      <c r="I177" s="873">
        <f>I812</f>
        <v>32527.601999999999</v>
      </c>
      <c r="J177" s="873">
        <f>J812</f>
        <v>21685.067999999999</v>
      </c>
      <c r="K177" s="873">
        <f t="shared" si="2"/>
        <v>54212.67</v>
      </c>
    </row>
    <row r="178" spans="1:11" s="874" customFormat="1" ht="64.5" customHeight="1">
      <c r="A178" s="893" t="s">
        <v>193</v>
      </c>
      <c r="B178" s="1083" t="s">
        <v>1476</v>
      </c>
      <c r="C178" s="1084"/>
      <c r="D178" s="1084"/>
      <c r="E178" s="1084"/>
      <c r="F178" s="1085"/>
      <c r="G178" s="894">
        <v>8100</v>
      </c>
      <c r="H178" s="896" t="s">
        <v>2445</v>
      </c>
      <c r="I178" s="873">
        <f>I822</f>
        <v>2520</v>
      </c>
      <c r="J178" s="873">
        <f>J822</f>
        <v>1680</v>
      </c>
      <c r="K178" s="873">
        <f t="shared" si="2"/>
        <v>4200</v>
      </c>
    </row>
    <row r="179" spans="1:11" s="874" customFormat="1" ht="64.5" customHeight="1">
      <c r="A179" s="893" t="s">
        <v>244</v>
      </c>
      <c r="B179" s="1083" t="s">
        <v>266</v>
      </c>
      <c r="C179" s="1084"/>
      <c r="D179" s="1084"/>
      <c r="E179" s="1084"/>
      <c r="F179" s="1085"/>
      <c r="G179" s="894">
        <v>8100</v>
      </c>
      <c r="H179" s="895">
        <v>169711</v>
      </c>
      <c r="I179" s="873">
        <f>I824</f>
        <v>8953.866</v>
      </c>
      <c r="J179" s="873">
        <f>J824</f>
        <v>5969.2439999999997</v>
      </c>
      <c r="K179" s="873">
        <f t="shared" si="2"/>
        <v>14923.11</v>
      </c>
    </row>
    <row r="180" spans="1:11" s="872" customFormat="1" ht="64.5" customHeight="1">
      <c r="A180" s="890"/>
      <c r="B180" s="1086" t="s">
        <v>1780</v>
      </c>
      <c r="C180" s="1087"/>
      <c r="D180" s="1087"/>
      <c r="E180" s="1087"/>
      <c r="F180" s="1088"/>
      <c r="G180" s="891"/>
      <c r="H180" s="892"/>
      <c r="I180" s="871">
        <f>SUM(I181:I183)</f>
        <v>69870.600000000006</v>
      </c>
      <c r="J180" s="871">
        <f>SUM(J181:J183)</f>
        <v>46580.4</v>
      </c>
      <c r="K180" s="871">
        <f t="shared" si="2"/>
        <v>116451</v>
      </c>
    </row>
    <row r="181" spans="1:11" s="874" customFormat="1" ht="64.5" customHeight="1">
      <c r="A181" s="893" t="s">
        <v>2204</v>
      </c>
      <c r="B181" s="1083" t="s">
        <v>2205</v>
      </c>
      <c r="C181" s="1084"/>
      <c r="D181" s="1084"/>
      <c r="E181" s="1084"/>
      <c r="F181" s="1085"/>
      <c r="G181" s="894">
        <v>8100</v>
      </c>
      <c r="H181" s="895">
        <v>169711</v>
      </c>
      <c r="I181" s="873">
        <f>I686</f>
        <v>59370.600000000006</v>
      </c>
      <c r="J181" s="873">
        <f>J686</f>
        <v>39580.400000000001</v>
      </c>
      <c r="K181" s="873">
        <f t="shared" si="2"/>
        <v>98951</v>
      </c>
    </row>
    <row r="182" spans="1:11" s="874" customFormat="1" ht="64.5" customHeight="1">
      <c r="A182" s="893" t="s">
        <v>193</v>
      </c>
      <c r="B182" s="1083" t="s">
        <v>1476</v>
      </c>
      <c r="C182" s="1084"/>
      <c r="D182" s="1084"/>
      <c r="E182" s="1084"/>
      <c r="F182" s="1085"/>
      <c r="G182" s="894">
        <v>8100</v>
      </c>
      <c r="H182" s="896" t="s">
        <v>2445</v>
      </c>
      <c r="I182" s="873">
        <f>I693</f>
        <v>3000</v>
      </c>
      <c r="J182" s="873">
        <f>J693</f>
        <v>2000</v>
      </c>
      <c r="K182" s="873">
        <f t="shared" si="2"/>
        <v>5000</v>
      </c>
    </row>
    <row r="183" spans="1:11" s="874" customFormat="1" ht="64.5" customHeight="1">
      <c r="A183" s="893" t="s">
        <v>244</v>
      </c>
      <c r="B183" s="1083" t="s">
        <v>266</v>
      </c>
      <c r="C183" s="1084"/>
      <c r="D183" s="1084"/>
      <c r="E183" s="1084"/>
      <c r="F183" s="1085"/>
      <c r="G183" s="894">
        <v>8100</v>
      </c>
      <c r="H183" s="895">
        <v>169711</v>
      </c>
      <c r="I183" s="873">
        <f>I695</f>
        <v>7500</v>
      </c>
      <c r="J183" s="873">
        <f>J695</f>
        <v>5000</v>
      </c>
      <c r="K183" s="873">
        <f t="shared" si="2"/>
        <v>12500</v>
      </c>
    </row>
    <row r="184" spans="1:11" s="872" customFormat="1" ht="64.5" customHeight="1">
      <c r="A184" s="890"/>
      <c r="B184" s="1086" t="s">
        <v>1982</v>
      </c>
      <c r="C184" s="1087"/>
      <c r="D184" s="1087"/>
      <c r="E184" s="1087"/>
      <c r="F184" s="1088"/>
      <c r="G184" s="891"/>
      <c r="H184" s="892"/>
      <c r="I184" s="871">
        <f>SUM(I185:I187)</f>
        <v>42717</v>
      </c>
      <c r="J184" s="871">
        <f>SUM(J185:J187)</f>
        <v>28478</v>
      </c>
      <c r="K184" s="871">
        <f t="shared" si="2"/>
        <v>71195</v>
      </c>
    </row>
    <row r="185" spans="1:11" s="874" customFormat="1" ht="64.5" customHeight="1">
      <c r="A185" s="893" t="s">
        <v>2204</v>
      </c>
      <c r="B185" s="1083" t="s">
        <v>2205</v>
      </c>
      <c r="C185" s="1084"/>
      <c r="D185" s="1084"/>
      <c r="E185" s="1084"/>
      <c r="F185" s="1085"/>
      <c r="G185" s="894">
        <v>8100</v>
      </c>
      <c r="H185" s="895">
        <v>169711</v>
      </c>
      <c r="I185" s="873">
        <f>I842</f>
        <v>38817</v>
      </c>
      <c r="J185" s="873">
        <f>J842</f>
        <v>25878</v>
      </c>
      <c r="K185" s="873">
        <f t="shared" si="2"/>
        <v>64695</v>
      </c>
    </row>
    <row r="186" spans="1:11" s="874" customFormat="1" ht="64.5" customHeight="1">
      <c r="A186" s="893" t="s">
        <v>193</v>
      </c>
      <c r="B186" s="1083" t="s">
        <v>1476</v>
      </c>
      <c r="C186" s="1084"/>
      <c r="D186" s="1084"/>
      <c r="E186" s="1084"/>
      <c r="F186" s="1085"/>
      <c r="G186" s="894">
        <v>8100</v>
      </c>
      <c r="H186" s="896" t="s">
        <v>2445</v>
      </c>
      <c r="I186" s="873">
        <f>I849</f>
        <v>1500</v>
      </c>
      <c r="J186" s="873">
        <f>J849</f>
        <v>1000</v>
      </c>
      <c r="K186" s="873">
        <f t="shared" si="2"/>
        <v>2500</v>
      </c>
    </row>
    <row r="187" spans="1:11" s="874" customFormat="1" ht="64.5" customHeight="1">
      <c r="A187" s="893" t="s">
        <v>244</v>
      </c>
      <c r="B187" s="1083" t="s">
        <v>266</v>
      </c>
      <c r="C187" s="1084"/>
      <c r="D187" s="1084"/>
      <c r="E187" s="1084"/>
      <c r="F187" s="1085"/>
      <c r="G187" s="894">
        <v>8100</v>
      </c>
      <c r="H187" s="895">
        <v>169711</v>
      </c>
      <c r="I187" s="873">
        <f>I851</f>
        <v>2400</v>
      </c>
      <c r="J187" s="873">
        <f>J851</f>
        <v>1600</v>
      </c>
      <c r="K187" s="873">
        <f t="shared" si="2"/>
        <v>4000</v>
      </c>
    </row>
    <row r="188" spans="1:11" s="872" customFormat="1" ht="64.5" customHeight="1">
      <c r="A188" s="890"/>
      <c r="B188" s="1086" t="s">
        <v>2210</v>
      </c>
      <c r="C188" s="1087"/>
      <c r="D188" s="1087"/>
      <c r="E188" s="1087"/>
      <c r="F188" s="1088"/>
      <c r="G188" s="891"/>
      <c r="H188" s="892"/>
      <c r="I188" s="871">
        <f>SUM(I189:I190)</f>
        <v>36599.4</v>
      </c>
      <c r="J188" s="871">
        <f>SUM(J189:J190)</f>
        <v>24399.599999999999</v>
      </c>
      <c r="K188" s="871">
        <f t="shared" si="2"/>
        <v>60999</v>
      </c>
    </row>
    <row r="189" spans="1:11" s="874" customFormat="1" ht="64.5" customHeight="1">
      <c r="A189" s="893" t="s">
        <v>2204</v>
      </c>
      <c r="B189" s="1083" t="s">
        <v>2205</v>
      </c>
      <c r="C189" s="1084"/>
      <c r="D189" s="1084"/>
      <c r="E189" s="1084"/>
      <c r="F189" s="1085"/>
      <c r="G189" s="894">
        <v>8100</v>
      </c>
      <c r="H189" s="895">
        <v>169711</v>
      </c>
      <c r="I189" s="873">
        <f>I859</f>
        <v>34200</v>
      </c>
      <c r="J189" s="873">
        <f>J859</f>
        <v>22800</v>
      </c>
      <c r="K189" s="873">
        <f t="shared" si="2"/>
        <v>57000</v>
      </c>
    </row>
    <row r="190" spans="1:11" s="874" customFormat="1" ht="64.5" customHeight="1">
      <c r="A190" s="893" t="s">
        <v>244</v>
      </c>
      <c r="B190" s="1083" t="s">
        <v>266</v>
      </c>
      <c r="C190" s="1084"/>
      <c r="D190" s="1084"/>
      <c r="E190" s="1084"/>
      <c r="F190" s="1085"/>
      <c r="G190" s="894">
        <v>8100</v>
      </c>
      <c r="H190" s="895">
        <v>169711</v>
      </c>
      <c r="I190" s="873">
        <f>I863</f>
        <v>2399.4</v>
      </c>
      <c r="J190" s="873">
        <f>J863</f>
        <v>1599.6000000000001</v>
      </c>
      <c r="K190" s="873">
        <f t="shared" si="2"/>
        <v>3999</v>
      </c>
    </row>
    <row r="191" spans="1:11" s="872" customFormat="1" ht="64.5" customHeight="1">
      <c r="A191" s="890"/>
      <c r="B191" s="1086" t="s">
        <v>2073</v>
      </c>
      <c r="C191" s="1087"/>
      <c r="D191" s="1087"/>
      <c r="E191" s="1087"/>
      <c r="F191" s="1088"/>
      <c r="G191" s="891"/>
      <c r="H191" s="892"/>
      <c r="I191" s="871">
        <f>SUM(I192:I194)</f>
        <v>139721.4</v>
      </c>
      <c r="J191" s="871">
        <f>SUM(J192:J194)</f>
        <v>93147.6</v>
      </c>
      <c r="K191" s="871">
        <f t="shared" si="2"/>
        <v>232869</v>
      </c>
    </row>
    <row r="192" spans="1:11" s="874" customFormat="1" ht="64.5" customHeight="1">
      <c r="A192" s="893" t="s">
        <v>2204</v>
      </c>
      <c r="B192" s="1083" t="s">
        <v>2205</v>
      </c>
      <c r="C192" s="1084"/>
      <c r="D192" s="1084"/>
      <c r="E192" s="1084"/>
      <c r="F192" s="1085"/>
      <c r="G192" s="894">
        <v>8100</v>
      </c>
      <c r="H192" s="895">
        <v>169711</v>
      </c>
      <c r="I192" s="873">
        <f>I1099</f>
        <v>123715.20000000001</v>
      </c>
      <c r="J192" s="873">
        <f>J1099</f>
        <v>82476.800000000003</v>
      </c>
      <c r="K192" s="873">
        <f t="shared" si="2"/>
        <v>206192</v>
      </c>
    </row>
    <row r="193" spans="1:11" s="874" customFormat="1" ht="64.5" customHeight="1">
      <c r="A193" s="893" t="s">
        <v>193</v>
      </c>
      <c r="B193" s="1083" t="s">
        <v>1476</v>
      </c>
      <c r="C193" s="1084"/>
      <c r="D193" s="1084"/>
      <c r="E193" s="1084"/>
      <c r="F193" s="1085"/>
      <c r="G193" s="894">
        <v>8100</v>
      </c>
      <c r="H193" s="896" t="s">
        <v>2445</v>
      </c>
      <c r="I193" s="873">
        <f>I1108</f>
        <v>6509.4</v>
      </c>
      <c r="J193" s="873">
        <f>J1108</f>
        <v>4339.5999999999995</v>
      </c>
      <c r="K193" s="873">
        <f t="shared" si="2"/>
        <v>10849</v>
      </c>
    </row>
    <row r="194" spans="1:11" s="874" customFormat="1" ht="64.5" customHeight="1">
      <c r="A194" s="893" t="s">
        <v>244</v>
      </c>
      <c r="B194" s="1083" t="s">
        <v>266</v>
      </c>
      <c r="C194" s="1084"/>
      <c r="D194" s="1084"/>
      <c r="E194" s="1084"/>
      <c r="F194" s="1085"/>
      <c r="G194" s="894">
        <v>8100</v>
      </c>
      <c r="H194" s="895">
        <v>169711</v>
      </c>
      <c r="I194" s="873">
        <f>I1110</f>
        <v>9496.7999999999993</v>
      </c>
      <c r="J194" s="873">
        <f>J1110</f>
        <v>6331.2</v>
      </c>
      <c r="K194" s="873">
        <f t="shared" si="2"/>
        <v>15828</v>
      </c>
    </row>
    <row r="195" spans="1:11" s="877" customFormat="1" ht="64.5" customHeight="1">
      <c r="A195" s="909"/>
      <c r="B195" s="910"/>
      <c r="C195" s="910"/>
      <c r="D195" s="910"/>
      <c r="E195" s="910"/>
      <c r="F195" s="910"/>
      <c r="G195" s="911"/>
      <c r="H195" s="912"/>
      <c r="I195" s="913"/>
      <c r="J195" s="913"/>
      <c r="K195" s="914"/>
    </row>
    <row r="196" spans="1:11" s="879" customFormat="1" ht="64.5" customHeight="1">
      <c r="A196" s="915" t="s">
        <v>200</v>
      </c>
      <c r="B196" s="916"/>
      <c r="C196" s="916"/>
      <c r="D196" s="916"/>
      <c r="E196" s="916"/>
      <c r="F196" s="916"/>
      <c r="G196" s="916"/>
      <c r="H196" s="917"/>
      <c r="I196" s="878">
        <f>I188+I156+I32+I151+I16+I165+I191+I147+I142+I38+I160+I184+I28+I12+I111+I36+I108+I176+I116+I137+I170+I24+I180+I49+I114+I88+I74+I93+I55+I100+I105+I79+I97+I59+I83+I43+I119+I20</f>
        <v>9371435.4680000003</v>
      </c>
      <c r="J196" s="878">
        <f>J188+J156+J32+J151+J16+J165+J191+J147+J142+J38+J160+J184+J28+J12+J111+J36+J108+J176+J116+J137+J170+J24+J180+J49+J114+J88+J74+J93+J55+J100+J105+J79+J97+J59+J83+J43+J119+J20</f>
        <v>5989844.311999999</v>
      </c>
      <c r="K196" s="878">
        <f>I196+J196</f>
        <v>15361279.779999999</v>
      </c>
    </row>
    <row r="197" spans="1:11" s="17" customFormat="1" ht="36.75" customHeight="1">
      <c r="A197" s="839"/>
      <c r="B197" s="839"/>
      <c r="C197" s="839"/>
      <c r="D197" s="839"/>
      <c r="E197" s="839"/>
      <c r="F197" s="839"/>
      <c r="G197" s="66"/>
      <c r="H197" s="66"/>
      <c r="I197" s="66"/>
      <c r="J197" s="66"/>
      <c r="K197" s="66"/>
    </row>
    <row r="198" spans="1:11" s="17" customFormat="1" ht="19.5" customHeight="1">
      <c r="A198" s="839"/>
      <c r="B198" s="839"/>
      <c r="C198" s="839"/>
      <c r="D198" s="839"/>
      <c r="E198" s="839"/>
      <c r="F198" s="839"/>
      <c r="G198" s="66"/>
      <c r="H198" s="66"/>
      <c r="I198" s="66"/>
      <c r="J198" s="66"/>
      <c r="K198" s="66"/>
    </row>
    <row r="199" spans="1:11" ht="45" hidden="1">
      <c r="A199" s="979" t="s">
        <v>51</v>
      </c>
      <c r="B199" s="979"/>
      <c r="C199" s="979"/>
      <c r="D199" s="979"/>
      <c r="E199" s="979"/>
      <c r="F199" s="979"/>
      <c r="G199" s="979"/>
      <c r="H199" s="979"/>
      <c r="I199" s="979"/>
      <c r="J199" s="979"/>
      <c r="K199" s="979"/>
    </row>
    <row r="200" spans="1:11" ht="45" hidden="1">
      <c r="A200" s="979" t="s">
        <v>52</v>
      </c>
      <c r="B200" s="979"/>
      <c r="C200" s="979"/>
      <c r="D200" s="979"/>
      <c r="E200" s="979"/>
      <c r="F200" s="979"/>
      <c r="G200" s="979"/>
      <c r="H200" s="979"/>
      <c r="I200" s="979"/>
      <c r="J200" s="979"/>
      <c r="K200" s="979"/>
    </row>
    <row r="201" spans="1:11" ht="45" hidden="1">
      <c r="A201" s="1040" t="s">
        <v>50</v>
      </c>
      <c r="B201" s="1040"/>
      <c r="C201" s="1040"/>
      <c r="D201" s="1040"/>
      <c r="E201" s="1040"/>
      <c r="F201" s="1040"/>
      <c r="G201" s="1040"/>
      <c r="H201" s="1040"/>
      <c r="I201" s="1040"/>
      <c r="J201" s="1040"/>
      <c r="K201" s="1040"/>
    </row>
    <row r="202" spans="1:11" ht="44.25" hidden="1">
      <c r="A202" s="736"/>
      <c r="B202" s="736"/>
      <c r="C202" s="736"/>
      <c r="D202" s="736"/>
      <c r="E202" s="736"/>
      <c r="F202" s="736"/>
      <c r="G202" s="838"/>
      <c r="H202" s="838"/>
      <c r="I202" s="838"/>
      <c r="J202" s="838"/>
      <c r="K202" s="838"/>
    </row>
    <row r="203" spans="1:11" ht="45" hidden="1">
      <c r="A203" s="979" t="s">
        <v>1489</v>
      </c>
      <c r="B203" s="979"/>
      <c r="C203" s="979"/>
      <c r="D203" s="979"/>
      <c r="E203" s="979"/>
      <c r="F203" s="979"/>
      <c r="G203" s="979"/>
      <c r="H203" s="979"/>
      <c r="I203" s="979"/>
      <c r="J203" s="979"/>
      <c r="K203" s="979"/>
    </row>
    <row r="204" spans="1:11" s="620" customFormat="1" ht="33" hidden="1">
      <c r="A204" s="65"/>
      <c r="B204" s="65"/>
      <c r="C204" s="65"/>
      <c r="D204" s="65"/>
      <c r="E204" s="65"/>
      <c r="F204" s="65"/>
      <c r="G204" s="68"/>
      <c r="H204" s="68"/>
      <c r="I204" s="68"/>
      <c r="J204" s="68"/>
      <c r="K204" s="68"/>
    </row>
    <row r="205" spans="1:11" ht="20.100000000000001" hidden="1" customHeight="1">
      <c r="A205" s="65"/>
      <c r="B205" s="65"/>
      <c r="C205" s="65"/>
      <c r="D205" s="65"/>
      <c r="E205" s="65"/>
      <c r="F205" s="65"/>
      <c r="G205" s="68"/>
      <c r="H205" s="68"/>
      <c r="I205" s="68"/>
      <c r="J205" s="68"/>
      <c r="K205" s="68"/>
    </row>
    <row r="206" spans="1:11" ht="20.100000000000001" hidden="1" customHeight="1">
      <c r="A206" s="979"/>
      <c r="B206" s="979"/>
      <c r="C206" s="979"/>
      <c r="D206" s="979"/>
      <c r="E206" s="979"/>
      <c r="F206" s="979"/>
      <c r="G206" s="979"/>
      <c r="H206" s="979"/>
      <c r="I206" s="979"/>
      <c r="J206" s="979"/>
      <c r="K206" s="979"/>
    </row>
    <row r="207" spans="1:11" ht="45.75" hidden="1" customHeight="1">
      <c r="A207" s="1029" t="s">
        <v>1380</v>
      </c>
      <c r="B207" s="1030"/>
      <c r="C207" s="1030"/>
      <c r="D207" s="1030"/>
      <c r="E207" s="1030"/>
      <c r="F207" s="1030"/>
      <c r="G207" s="1030"/>
      <c r="H207" s="1030"/>
      <c r="I207" s="1030"/>
      <c r="J207" s="1030"/>
      <c r="K207" s="1030"/>
    </row>
    <row r="208" spans="1:11" ht="66" hidden="1" customHeight="1">
      <c r="A208" s="1031" t="s">
        <v>37</v>
      </c>
      <c r="B208" s="1033"/>
      <c r="C208" s="1037" t="s">
        <v>178</v>
      </c>
      <c r="D208" s="1037" t="s">
        <v>179</v>
      </c>
      <c r="E208" s="1037" t="s">
        <v>1521</v>
      </c>
      <c r="F208" s="1037" t="s">
        <v>14</v>
      </c>
      <c r="G208" s="1037" t="s">
        <v>1515</v>
      </c>
      <c r="H208" s="1037" t="s">
        <v>16</v>
      </c>
      <c r="I208" s="1039" t="s">
        <v>1490</v>
      </c>
      <c r="J208" s="1039" t="s">
        <v>2203</v>
      </c>
      <c r="K208" s="1037" t="s">
        <v>200</v>
      </c>
    </row>
    <row r="209" spans="1:11" s="500" customFormat="1" ht="30" hidden="1">
      <c r="A209" s="1034"/>
      <c r="B209" s="1036"/>
      <c r="C209" s="1038"/>
      <c r="D209" s="1038"/>
      <c r="E209" s="1038"/>
      <c r="F209" s="1038"/>
      <c r="G209" s="1038"/>
      <c r="H209" s="1038"/>
      <c r="I209" s="1039"/>
      <c r="J209" s="1039"/>
      <c r="K209" s="1038"/>
    </row>
    <row r="210" spans="1:11" s="500" customFormat="1" ht="74.25" hidden="1" customHeight="1">
      <c r="A210" s="1102" t="s">
        <v>1704</v>
      </c>
      <c r="B210" s="1103"/>
      <c r="C210" s="729"/>
      <c r="D210" s="729"/>
      <c r="E210" s="726"/>
      <c r="F210" s="727"/>
      <c r="G210" s="728"/>
      <c r="H210" s="728"/>
      <c r="I210" s="642">
        <f>I211+I213+I220</f>
        <v>777544.2</v>
      </c>
      <c r="J210" s="642">
        <f>J211+J213+J220</f>
        <v>439528.8</v>
      </c>
      <c r="K210" s="642">
        <f>I210+J210</f>
        <v>1217073</v>
      </c>
    </row>
    <row r="211" spans="1:11" ht="75" hidden="1" customHeight="1">
      <c r="A211" s="1011" t="s">
        <v>1541</v>
      </c>
      <c r="B211" s="1013"/>
      <c r="C211" s="709"/>
      <c r="D211" s="709"/>
      <c r="E211" s="709"/>
      <c r="F211" s="708"/>
      <c r="G211" s="709"/>
      <c r="H211" s="710"/>
      <c r="I211" s="545">
        <f>SUM(I212:I212)</f>
        <v>36306.6</v>
      </c>
      <c r="J211" s="545">
        <f>SUM(J212:J212)</f>
        <v>24204.400000000001</v>
      </c>
      <c r="K211" s="545">
        <f>I211+J211</f>
        <v>60511</v>
      </c>
    </row>
    <row r="212" spans="1:11" s="510" customFormat="1" ht="74.25" hidden="1" customHeight="1">
      <c r="A212" s="1020" t="s">
        <v>1705</v>
      </c>
      <c r="B212" s="1022"/>
      <c r="C212" s="714" t="s">
        <v>1544</v>
      </c>
      <c r="D212" s="714"/>
      <c r="E212" s="714" t="s">
        <v>1544</v>
      </c>
      <c r="F212" s="829" t="s">
        <v>2220</v>
      </c>
      <c r="G212" s="827">
        <v>8100</v>
      </c>
      <c r="H212" s="828" t="s">
        <v>2273</v>
      </c>
      <c r="I212" s="717">
        <f>K212/100*60</f>
        <v>36306.6</v>
      </c>
      <c r="J212" s="717">
        <f>K212/100*40</f>
        <v>24204.400000000001</v>
      </c>
      <c r="K212" s="717">
        <v>60511</v>
      </c>
    </row>
    <row r="213" spans="1:11" ht="74.25" hidden="1" customHeight="1">
      <c r="A213" s="1011" t="s">
        <v>1706</v>
      </c>
      <c r="B213" s="1013"/>
      <c r="C213" s="504"/>
      <c r="D213" s="709"/>
      <c r="E213" s="709"/>
      <c r="F213" s="708"/>
      <c r="G213" s="709"/>
      <c r="H213" s="710"/>
      <c r="I213" s="545">
        <f>SUM(I214:I219)</f>
        <v>719843.4</v>
      </c>
      <c r="J213" s="545">
        <f>SUM(J214:J219)</f>
        <v>401061.6</v>
      </c>
      <c r="K213" s="545">
        <f>I213+J213</f>
        <v>1120905</v>
      </c>
    </row>
    <row r="214" spans="1:11" s="510" customFormat="1" ht="74.25" hidden="1" customHeight="1">
      <c r="A214" s="1020" t="s">
        <v>1759</v>
      </c>
      <c r="B214" s="1022"/>
      <c r="C214" s="714" t="s">
        <v>1544</v>
      </c>
      <c r="D214" s="714"/>
      <c r="E214" s="714" t="s">
        <v>1544</v>
      </c>
      <c r="F214" s="833" t="s">
        <v>2221</v>
      </c>
      <c r="G214" s="1047">
        <v>8100</v>
      </c>
      <c r="H214" s="1099" t="s">
        <v>2450</v>
      </c>
      <c r="I214" s="717">
        <f>557946-27967</f>
        <v>529979</v>
      </c>
      <c r="J214" s="717">
        <f>371964-6068</f>
        <v>365896</v>
      </c>
      <c r="K214" s="717">
        <v>929910</v>
      </c>
    </row>
    <row r="215" spans="1:11" s="510" customFormat="1" ht="74.25" hidden="1" customHeight="1">
      <c r="A215" s="1059" t="s">
        <v>1760</v>
      </c>
      <c r="B215" s="1061"/>
      <c r="C215" s="789" t="s">
        <v>1544</v>
      </c>
      <c r="D215" s="789"/>
      <c r="E215" s="789" t="s">
        <v>1544</v>
      </c>
      <c r="F215" s="833" t="s">
        <v>2222</v>
      </c>
      <c r="G215" s="1048"/>
      <c r="H215" s="1100"/>
      <c r="I215" s="717">
        <v>109371</v>
      </c>
      <c r="J215" s="717"/>
      <c r="K215" s="717">
        <v>113091</v>
      </c>
    </row>
    <row r="216" spans="1:11" s="510" customFormat="1" ht="74.25" hidden="1" customHeight="1">
      <c r="A216" s="1020" t="s">
        <v>1707</v>
      </c>
      <c r="B216" s="1022"/>
      <c r="C216" s="714" t="s">
        <v>1544</v>
      </c>
      <c r="D216" s="714"/>
      <c r="E216" s="714" t="s">
        <v>1544</v>
      </c>
      <c r="F216" s="833" t="s">
        <v>2223</v>
      </c>
      <c r="G216" s="1049"/>
      <c r="H216" s="1101"/>
      <c r="I216" s="717">
        <f>K216/100*60</f>
        <v>52748.4</v>
      </c>
      <c r="J216" s="717">
        <f>K216/100*40</f>
        <v>35165.599999999999</v>
      </c>
      <c r="K216" s="717">
        <v>87914</v>
      </c>
    </row>
    <row r="217" spans="1:11" s="510" customFormat="1" ht="21.75" hidden="1" customHeight="1">
      <c r="A217" s="825"/>
      <c r="B217" s="826"/>
      <c r="C217" s="714"/>
      <c r="D217" s="714"/>
      <c r="E217" s="714"/>
      <c r="F217" s="833"/>
      <c r="G217" s="831"/>
      <c r="H217" s="832"/>
      <c r="I217" s="717"/>
      <c r="J217" s="717"/>
      <c r="K217" s="717"/>
    </row>
    <row r="218" spans="1:11" s="510" customFormat="1" ht="74.25" hidden="1" customHeight="1">
      <c r="A218" s="1008" t="s">
        <v>2482</v>
      </c>
      <c r="B218" s="1010"/>
      <c r="C218" s="818" t="s">
        <v>1544</v>
      </c>
      <c r="D218" s="818"/>
      <c r="E218" s="818" t="s">
        <v>1544</v>
      </c>
      <c r="F218" s="810"/>
      <c r="G218" s="815"/>
      <c r="H218" s="816"/>
      <c r="I218" s="817">
        <v>23361</v>
      </c>
      <c r="J218" s="817"/>
      <c r="K218" s="817">
        <f>I218+J218</f>
        <v>23361</v>
      </c>
    </row>
    <row r="219" spans="1:11" s="510" customFormat="1" ht="74.25" hidden="1" customHeight="1">
      <c r="A219" s="1096" t="s">
        <v>2483</v>
      </c>
      <c r="B219" s="1097"/>
      <c r="C219" s="814" t="s">
        <v>1544</v>
      </c>
      <c r="D219" s="814"/>
      <c r="E219" s="814" t="s">
        <v>1544</v>
      </c>
      <c r="F219" s="810"/>
      <c r="G219" s="815"/>
      <c r="H219" s="816"/>
      <c r="I219" s="817">
        <v>4384</v>
      </c>
      <c r="J219" s="817"/>
      <c r="K219" s="817">
        <f>I219+J219</f>
        <v>4384</v>
      </c>
    </row>
    <row r="220" spans="1:11" ht="73.5" hidden="1" customHeight="1">
      <c r="A220" s="1011" t="s">
        <v>312</v>
      </c>
      <c r="B220" s="1013"/>
      <c r="C220" s="709"/>
      <c r="D220" s="709"/>
      <c r="E220" s="709"/>
      <c r="F220" s="708"/>
      <c r="G220" s="709"/>
      <c r="H220" s="710"/>
      <c r="I220" s="545">
        <f>I221</f>
        <v>21394.2</v>
      </c>
      <c r="J220" s="545">
        <f>J221</f>
        <v>14262.8</v>
      </c>
      <c r="K220" s="545">
        <f>I220+J220</f>
        <v>35657</v>
      </c>
    </row>
    <row r="221" spans="1:11" s="510" customFormat="1" ht="74.25" hidden="1" customHeight="1">
      <c r="A221" s="1020" t="s">
        <v>1708</v>
      </c>
      <c r="B221" s="1022"/>
      <c r="C221" s="714" t="s">
        <v>1544</v>
      </c>
      <c r="D221" s="714"/>
      <c r="E221" s="714" t="s">
        <v>1544</v>
      </c>
      <c r="F221" s="833" t="s">
        <v>2224</v>
      </c>
      <c r="G221" s="835">
        <v>8100</v>
      </c>
      <c r="H221" s="834" t="s">
        <v>2273</v>
      </c>
      <c r="I221" s="717">
        <f>K221/100*60</f>
        <v>21394.2</v>
      </c>
      <c r="J221" s="717">
        <f>K221/100*40</f>
        <v>14262.8</v>
      </c>
      <c r="K221" s="717">
        <v>35657</v>
      </c>
    </row>
    <row r="222" spans="1:11" s="510" customFormat="1" ht="37.5" hidden="1">
      <c r="A222" s="1098" t="s">
        <v>2455</v>
      </c>
      <c r="B222" s="1098"/>
      <c r="C222" s="1098"/>
      <c r="D222" s="1098"/>
      <c r="E222" s="1098"/>
      <c r="F222" s="1098"/>
      <c r="G222" s="1098"/>
      <c r="H222" s="1098"/>
      <c r="I222" s="852"/>
      <c r="J222" s="852"/>
      <c r="K222" s="852"/>
    </row>
    <row r="223" spans="1:11" s="854" customFormat="1" ht="49.5" hidden="1" customHeight="1">
      <c r="A223" s="1098" t="s">
        <v>2456</v>
      </c>
      <c r="B223" s="1098"/>
      <c r="C223" s="1098"/>
      <c r="D223" s="1098"/>
      <c r="E223" s="1098"/>
      <c r="F223" s="1098"/>
      <c r="G223" s="1098"/>
      <c r="H223" s="1098"/>
      <c r="I223" s="757"/>
      <c r="J223" s="757"/>
      <c r="K223" s="757"/>
    </row>
    <row r="224" spans="1:11" s="510" customFormat="1" ht="27" hidden="1" customHeight="1">
      <c r="A224" s="753"/>
      <c r="B224" s="753"/>
      <c r="C224" s="754"/>
      <c r="D224" s="754"/>
      <c r="E224" s="754"/>
      <c r="F224" s="861"/>
      <c r="G224" s="758"/>
      <c r="H224" s="756"/>
      <c r="I224" s="757"/>
      <c r="J224" s="757"/>
      <c r="K224" s="757"/>
    </row>
    <row r="225" spans="1:11" s="743" customFormat="1" ht="36.75" hidden="1" customHeight="1">
      <c r="A225" s="1105"/>
      <c r="B225" s="1106"/>
      <c r="C225" s="856"/>
      <c r="D225" s="856"/>
      <c r="E225" s="857"/>
      <c r="F225" s="858"/>
      <c r="G225" s="859"/>
      <c r="H225" s="859"/>
      <c r="I225" s="860"/>
      <c r="J225" s="860"/>
      <c r="K225" s="860"/>
    </row>
    <row r="226" spans="1:11" ht="66" hidden="1" customHeight="1">
      <c r="A226" s="1031" t="s">
        <v>37</v>
      </c>
      <c r="B226" s="1033"/>
      <c r="C226" s="1037" t="s">
        <v>178</v>
      </c>
      <c r="D226" s="1037" t="s">
        <v>179</v>
      </c>
      <c r="E226" s="1037" t="s">
        <v>1521</v>
      </c>
      <c r="F226" s="1037" t="s">
        <v>14</v>
      </c>
      <c r="G226" s="1037" t="s">
        <v>1515</v>
      </c>
      <c r="H226" s="1037" t="s">
        <v>16</v>
      </c>
      <c r="I226" s="1039" t="s">
        <v>1490</v>
      </c>
      <c r="J226" s="1039" t="s">
        <v>2203</v>
      </c>
      <c r="K226" s="1037" t="s">
        <v>200</v>
      </c>
    </row>
    <row r="227" spans="1:11" s="500" customFormat="1" ht="30" hidden="1">
      <c r="A227" s="1034"/>
      <c r="B227" s="1036"/>
      <c r="C227" s="1038"/>
      <c r="D227" s="1038"/>
      <c r="E227" s="1038"/>
      <c r="F227" s="1038"/>
      <c r="G227" s="1038"/>
      <c r="H227" s="1038"/>
      <c r="I227" s="1039"/>
      <c r="J227" s="1039"/>
      <c r="K227" s="1038"/>
    </row>
    <row r="228" spans="1:11" s="500" customFormat="1" ht="74.25" hidden="1" customHeight="1">
      <c r="A228" s="1102" t="s">
        <v>1709</v>
      </c>
      <c r="B228" s="1103"/>
      <c r="C228" s="729"/>
      <c r="D228" s="729"/>
      <c r="E228" s="726"/>
      <c r="F228" s="727"/>
      <c r="G228" s="728"/>
      <c r="H228" s="728"/>
      <c r="I228" s="642">
        <f>I229+I246+I249</f>
        <v>805472</v>
      </c>
      <c r="J228" s="642">
        <f>J229+J246+J249</f>
        <v>438818</v>
      </c>
      <c r="K228" s="642">
        <f>I228+J228</f>
        <v>1244290</v>
      </c>
    </row>
    <row r="229" spans="1:11" ht="74.25" hidden="1" customHeight="1">
      <c r="A229" s="1011" t="s">
        <v>332</v>
      </c>
      <c r="B229" s="1013"/>
      <c r="C229" s="504"/>
      <c r="D229" s="709"/>
      <c r="E229" s="709"/>
      <c r="F229" s="708"/>
      <c r="G229" s="709"/>
      <c r="H229" s="710"/>
      <c r="I229" s="545">
        <f>SUM(I230:I245)</f>
        <v>644329</v>
      </c>
      <c r="J229" s="545">
        <f>SUM(J230:J245)</f>
        <v>332188</v>
      </c>
      <c r="K229" s="545">
        <f>I229+J229</f>
        <v>976517</v>
      </c>
    </row>
    <row r="230" spans="1:11" s="510" customFormat="1" ht="74.25" hidden="1" customHeight="1">
      <c r="A230" s="1059" t="s">
        <v>1753</v>
      </c>
      <c r="B230" s="1061"/>
      <c r="C230" s="789" t="s">
        <v>1727</v>
      </c>
      <c r="D230" s="789">
        <v>18</v>
      </c>
      <c r="E230" s="789" t="s">
        <v>1728</v>
      </c>
      <c r="F230" s="833" t="s">
        <v>2237</v>
      </c>
      <c r="G230" s="1047">
        <v>8100</v>
      </c>
      <c r="H230" s="1047">
        <v>169708</v>
      </c>
      <c r="I230" s="717">
        <f>120694+8056</f>
        <v>128750</v>
      </c>
      <c r="J230" s="717"/>
      <c r="K230" s="717">
        <v>120694</v>
      </c>
    </row>
    <row r="231" spans="1:11" s="510" customFormat="1" ht="74.25" hidden="1" customHeight="1">
      <c r="A231" s="1020" t="s">
        <v>1741</v>
      </c>
      <c r="B231" s="1022"/>
      <c r="C231" s="714" t="s">
        <v>1742</v>
      </c>
      <c r="D231" s="714">
        <v>4</v>
      </c>
      <c r="E231" s="714" t="s">
        <v>1729</v>
      </c>
      <c r="F231" s="1104" t="s">
        <v>2226</v>
      </c>
      <c r="G231" s="1048"/>
      <c r="H231" s="1048"/>
      <c r="I231" s="717">
        <f t="shared" ref="I231:I241" si="3">K231/100*60</f>
        <v>6900</v>
      </c>
      <c r="J231" s="717">
        <f t="shared" ref="J231:J241" si="4">K231/100*40</f>
        <v>4600</v>
      </c>
      <c r="K231" s="717">
        <v>11500</v>
      </c>
    </row>
    <row r="232" spans="1:11" s="510" customFormat="1" ht="74.25" hidden="1" customHeight="1">
      <c r="A232" s="1020" t="s">
        <v>1743</v>
      </c>
      <c r="B232" s="1022"/>
      <c r="C232" s="714" t="s">
        <v>1730</v>
      </c>
      <c r="D232" s="714">
        <v>5</v>
      </c>
      <c r="E232" s="714" t="s">
        <v>1731</v>
      </c>
      <c r="F232" s="1104"/>
      <c r="G232" s="1048"/>
      <c r="H232" s="1048"/>
      <c r="I232" s="717">
        <f t="shared" si="3"/>
        <v>10500</v>
      </c>
      <c r="J232" s="717">
        <f t="shared" si="4"/>
        <v>7000</v>
      </c>
      <c r="K232" s="717">
        <v>17500</v>
      </c>
    </row>
    <row r="233" spans="1:11" s="510" customFormat="1" ht="74.25" hidden="1" customHeight="1">
      <c r="A233" s="1020" t="s">
        <v>1744</v>
      </c>
      <c r="B233" s="1022"/>
      <c r="C233" s="714" t="s">
        <v>1732</v>
      </c>
      <c r="D233" s="714">
        <v>20</v>
      </c>
      <c r="E233" s="714" t="s">
        <v>1733</v>
      </c>
      <c r="F233" s="1104"/>
      <c r="G233" s="1048"/>
      <c r="H233" s="1048"/>
      <c r="I233" s="717">
        <f t="shared" si="3"/>
        <v>17400</v>
      </c>
      <c r="J233" s="717">
        <f t="shared" si="4"/>
        <v>11600</v>
      </c>
      <c r="K233" s="717">
        <v>29000</v>
      </c>
    </row>
    <row r="234" spans="1:11" s="510" customFormat="1" ht="74.25" hidden="1" customHeight="1">
      <c r="A234" s="1020" t="s">
        <v>1745</v>
      </c>
      <c r="B234" s="1022"/>
      <c r="C234" s="714" t="s">
        <v>1718</v>
      </c>
      <c r="D234" s="714">
        <v>3</v>
      </c>
      <c r="E234" s="714" t="s">
        <v>1731</v>
      </c>
      <c r="F234" s="1104"/>
      <c r="G234" s="1048"/>
      <c r="H234" s="1048"/>
      <c r="I234" s="717">
        <f t="shared" si="3"/>
        <v>7200</v>
      </c>
      <c r="J234" s="717">
        <f t="shared" si="4"/>
        <v>4800</v>
      </c>
      <c r="K234" s="717">
        <v>12000</v>
      </c>
    </row>
    <row r="235" spans="1:11" s="510" customFormat="1" ht="74.25" hidden="1" customHeight="1">
      <c r="A235" s="1020" t="s">
        <v>1746</v>
      </c>
      <c r="B235" s="1022"/>
      <c r="C235" s="714" t="s">
        <v>1716</v>
      </c>
      <c r="D235" s="714">
        <v>15</v>
      </c>
      <c r="E235" s="714" t="s">
        <v>1717</v>
      </c>
      <c r="F235" s="1104"/>
      <c r="G235" s="1048"/>
      <c r="H235" s="1048"/>
      <c r="I235" s="717">
        <f t="shared" si="3"/>
        <v>80400</v>
      </c>
      <c r="J235" s="717">
        <f t="shared" si="4"/>
        <v>53600</v>
      </c>
      <c r="K235" s="717">
        <v>134000</v>
      </c>
    </row>
    <row r="236" spans="1:11" s="510" customFormat="1" ht="74.25" hidden="1" customHeight="1">
      <c r="A236" s="1020" t="s">
        <v>1747</v>
      </c>
      <c r="B236" s="1022"/>
      <c r="C236" s="714" t="s">
        <v>1734</v>
      </c>
      <c r="D236" s="714">
        <v>90</v>
      </c>
      <c r="E236" s="714" t="s">
        <v>1731</v>
      </c>
      <c r="F236" s="833" t="s">
        <v>2238</v>
      </c>
      <c r="G236" s="1048"/>
      <c r="H236" s="1048"/>
      <c r="I236" s="717">
        <f t="shared" si="3"/>
        <v>48000</v>
      </c>
      <c r="J236" s="717">
        <f t="shared" si="4"/>
        <v>32000</v>
      </c>
      <c r="K236" s="717">
        <v>80000</v>
      </c>
    </row>
    <row r="237" spans="1:11" s="510" customFormat="1" ht="74.25" hidden="1" customHeight="1">
      <c r="A237" s="1020" t="s">
        <v>1748</v>
      </c>
      <c r="B237" s="1022"/>
      <c r="C237" s="714" t="s">
        <v>1735</v>
      </c>
      <c r="D237" s="714">
        <v>32</v>
      </c>
      <c r="E237" s="714" t="s">
        <v>1728</v>
      </c>
      <c r="F237" s="1104" t="s">
        <v>2239</v>
      </c>
      <c r="G237" s="1048"/>
      <c r="H237" s="1048"/>
      <c r="I237" s="717">
        <f t="shared" si="3"/>
        <v>51600</v>
      </c>
      <c r="J237" s="717">
        <f t="shared" si="4"/>
        <v>34400</v>
      </c>
      <c r="K237" s="717">
        <v>86000</v>
      </c>
    </row>
    <row r="238" spans="1:11" s="510" customFormat="1" ht="74.25" hidden="1" customHeight="1">
      <c r="A238" s="1020" t="s">
        <v>1749</v>
      </c>
      <c r="B238" s="1022"/>
      <c r="C238" s="714" t="s">
        <v>1736</v>
      </c>
      <c r="D238" s="714">
        <v>68</v>
      </c>
      <c r="E238" s="714" t="s">
        <v>1728</v>
      </c>
      <c r="F238" s="1104"/>
      <c r="G238" s="1048"/>
      <c r="H238" s="1048"/>
      <c r="I238" s="717">
        <f t="shared" si="3"/>
        <v>37200</v>
      </c>
      <c r="J238" s="717">
        <f t="shared" si="4"/>
        <v>24800</v>
      </c>
      <c r="K238" s="717">
        <v>62000</v>
      </c>
    </row>
    <row r="239" spans="1:11" s="510" customFormat="1" ht="74.25" hidden="1" customHeight="1">
      <c r="A239" s="1020" t="s">
        <v>1750</v>
      </c>
      <c r="B239" s="1022"/>
      <c r="C239" s="714" t="s">
        <v>1737</v>
      </c>
      <c r="D239" s="714">
        <v>70</v>
      </c>
      <c r="E239" s="714" t="s">
        <v>1728</v>
      </c>
      <c r="F239" s="1104"/>
      <c r="G239" s="1048"/>
      <c r="H239" s="1048"/>
      <c r="I239" s="717">
        <f>227121-34414</f>
        <v>192707</v>
      </c>
      <c r="J239" s="717">
        <f>151414-5026</f>
        <v>146388</v>
      </c>
      <c r="K239" s="717">
        <f>I239+J239</f>
        <v>339095</v>
      </c>
    </row>
    <row r="240" spans="1:11" s="510" customFormat="1" ht="74.25" hidden="1" customHeight="1">
      <c r="A240" s="1020" t="s">
        <v>1751</v>
      </c>
      <c r="B240" s="1022"/>
      <c r="C240" s="714" t="s">
        <v>1738</v>
      </c>
      <c r="D240" s="714">
        <v>20</v>
      </c>
      <c r="E240" s="714" t="s">
        <v>1728</v>
      </c>
      <c r="F240" s="1104" t="s">
        <v>2240</v>
      </c>
      <c r="G240" s="1048"/>
      <c r="H240" s="1048"/>
      <c r="I240" s="717">
        <f t="shared" si="3"/>
        <v>13800</v>
      </c>
      <c r="J240" s="717">
        <f t="shared" si="4"/>
        <v>9200</v>
      </c>
      <c r="K240" s="717">
        <v>23000</v>
      </c>
    </row>
    <row r="241" spans="1:11" s="510" customFormat="1" ht="74.25" hidden="1" customHeight="1">
      <c r="A241" s="1020" t="s">
        <v>1752</v>
      </c>
      <c r="B241" s="1022"/>
      <c r="C241" s="714" t="s">
        <v>1739</v>
      </c>
      <c r="D241" s="714">
        <v>12</v>
      </c>
      <c r="E241" s="714" t="s">
        <v>1728</v>
      </c>
      <c r="F241" s="1104"/>
      <c r="G241" s="1048"/>
      <c r="H241" s="1048"/>
      <c r="I241" s="717">
        <f t="shared" si="3"/>
        <v>5700</v>
      </c>
      <c r="J241" s="717">
        <f t="shared" si="4"/>
        <v>3800</v>
      </c>
      <c r="K241" s="717">
        <v>9500</v>
      </c>
    </row>
    <row r="242" spans="1:11" s="510" customFormat="1" ht="74.25" hidden="1" customHeight="1">
      <c r="A242" s="1020" t="s">
        <v>1754</v>
      </c>
      <c r="B242" s="1022"/>
      <c r="C242" s="714" t="s">
        <v>1740</v>
      </c>
      <c r="D242" s="714">
        <v>2</v>
      </c>
      <c r="E242" s="714" t="s">
        <v>1728</v>
      </c>
      <c r="F242" s="1104"/>
      <c r="G242" s="1049"/>
      <c r="H242" s="1049"/>
      <c r="I242" s="717">
        <v>20000</v>
      </c>
      <c r="J242" s="717"/>
      <c r="K242" s="717">
        <v>20000</v>
      </c>
    </row>
    <row r="243" spans="1:11" s="510" customFormat="1" ht="24" hidden="1" customHeight="1">
      <c r="A243" s="825"/>
      <c r="B243" s="826"/>
      <c r="C243" s="714"/>
      <c r="D243" s="714"/>
      <c r="E243" s="714"/>
      <c r="F243" s="833"/>
      <c r="G243" s="831"/>
      <c r="H243" s="831"/>
      <c r="I243" s="717"/>
      <c r="J243" s="717"/>
      <c r="K243" s="717"/>
    </row>
    <row r="244" spans="1:11" s="510" customFormat="1" ht="74.25" hidden="1" customHeight="1">
      <c r="A244" s="1008" t="s">
        <v>2481</v>
      </c>
      <c r="B244" s="1010"/>
      <c r="C244" s="818"/>
      <c r="D244" s="818"/>
      <c r="E244" s="818"/>
      <c r="F244" s="810"/>
      <c r="G244" s="815"/>
      <c r="H244" s="815"/>
      <c r="I244" s="817">
        <v>20352</v>
      </c>
      <c r="J244" s="817"/>
      <c r="K244" s="817">
        <f>I244+J244</f>
        <v>20352</v>
      </c>
    </row>
    <row r="245" spans="1:11" s="510" customFormat="1" ht="74.25" hidden="1" customHeight="1">
      <c r="A245" s="1096" t="s">
        <v>2480</v>
      </c>
      <c r="B245" s="1097"/>
      <c r="C245" s="814"/>
      <c r="D245" s="814"/>
      <c r="E245" s="814"/>
      <c r="F245" s="810"/>
      <c r="G245" s="815"/>
      <c r="H245" s="815"/>
      <c r="I245" s="817">
        <v>3820</v>
      </c>
      <c r="J245" s="817"/>
      <c r="K245" s="817">
        <v>120694</v>
      </c>
    </row>
    <row r="246" spans="1:11" ht="74.25" hidden="1" customHeight="1">
      <c r="A246" s="1011" t="s">
        <v>481</v>
      </c>
      <c r="B246" s="1013"/>
      <c r="C246" s="504"/>
      <c r="D246" s="709"/>
      <c r="E246" s="709"/>
      <c r="F246" s="708"/>
      <c r="G246" s="709"/>
      <c r="H246" s="710"/>
      <c r="I246" s="545">
        <f>SUM(I247:I248)</f>
        <v>157196</v>
      </c>
      <c r="J246" s="545">
        <f>SUM(J247:J248)</f>
        <v>103915</v>
      </c>
      <c r="K246" s="545">
        <f t="shared" ref="K246:K251" si="5">I246+J246</f>
        <v>261111</v>
      </c>
    </row>
    <row r="247" spans="1:11" s="510" customFormat="1" ht="74.25" hidden="1" customHeight="1">
      <c r="A247" s="1020" t="s">
        <v>1755</v>
      </c>
      <c r="B247" s="1022"/>
      <c r="C247" s="714" t="s">
        <v>1756</v>
      </c>
      <c r="D247" s="714">
        <v>100</v>
      </c>
      <c r="E247" s="714" t="s">
        <v>1731</v>
      </c>
      <c r="F247" s="833" t="s">
        <v>2228</v>
      </c>
      <c r="G247" s="834" t="s">
        <v>1321</v>
      </c>
      <c r="H247" s="834" t="s">
        <v>2451</v>
      </c>
      <c r="I247" s="717">
        <v>150985</v>
      </c>
      <c r="J247" s="717">
        <v>103915</v>
      </c>
      <c r="K247" s="717">
        <f t="shared" si="5"/>
        <v>254900</v>
      </c>
    </row>
    <row r="248" spans="1:11" s="510" customFormat="1" ht="74.25" hidden="1" customHeight="1">
      <c r="A248" s="1008" t="s">
        <v>2479</v>
      </c>
      <c r="B248" s="1010"/>
      <c r="C248" s="818"/>
      <c r="D248" s="818"/>
      <c r="E248" s="818"/>
      <c r="F248" s="810"/>
      <c r="G248" s="812"/>
      <c r="H248" s="812"/>
      <c r="I248" s="817">
        <v>6211</v>
      </c>
      <c r="J248" s="817"/>
      <c r="K248" s="817">
        <f t="shared" si="5"/>
        <v>6211</v>
      </c>
    </row>
    <row r="249" spans="1:11" ht="74.25" hidden="1" customHeight="1">
      <c r="A249" s="1011" t="s">
        <v>1248</v>
      </c>
      <c r="B249" s="1107"/>
      <c r="C249" s="504"/>
      <c r="D249" s="709"/>
      <c r="E249" s="709"/>
      <c r="F249" s="708"/>
      <c r="G249" s="709"/>
      <c r="H249" s="710"/>
      <c r="I249" s="545">
        <f>SUM(I250:I251)</f>
        <v>3947</v>
      </c>
      <c r="J249" s="545">
        <f>SUM(J250:J251)</f>
        <v>2715</v>
      </c>
      <c r="K249" s="545">
        <f t="shared" si="5"/>
        <v>6662</v>
      </c>
    </row>
    <row r="250" spans="1:11" s="510" customFormat="1" ht="74.25" hidden="1" customHeight="1">
      <c r="A250" s="1020" t="s">
        <v>1757</v>
      </c>
      <c r="B250" s="1022"/>
      <c r="C250" s="714" t="s">
        <v>1756</v>
      </c>
      <c r="D250" s="714">
        <v>2</v>
      </c>
      <c r="E250" s="714" t="s">
        <v>1731</v>
      </c>
      <c r="F250" s="1044" t="s">
        <v>2227</v>
      </c>
      <c r="G250" s="1099" t="s">
        <v>1321</v>
      </c>
      <c r="H250" s="1099" t="s">
        <v>2447</v>
      </c>
      <c r="I250" s="717">
        <v>1656</v>
      </c>
      <c r="J250" s="717">
        <v>1139</v>
      </c>
      <c r="K250" s="717">
        <f t="shared" si="5"/>
        <v>2795</v>
      </c>
    </row>
    <row r="251" spans="1:11" s="510" customFormat="1" ht="74.25" hidden="1" customHeight="1">
      <c r="A251" s="1020" t="s">
        <v>1758</v>
      </c>
      <c r="B251" s="1022"/>
      <c r="C251" s="714" t="s">
        <v>1734</v>
      </c>
      <c r="D251" s="714">
        <v>5</v>
      </c>
      <c r="E251" s="714" t="s">
        <v>1731</v>
      </c>
      <c r="F251" s="1046"/>
      <c r="G251" s="1101"/>
      <c r="H251" s="1101"/>
      <c r="I251" s="717">
        <v>2291</v>
      </c>
      <c r="J251" s="717">
        <v>1576</v>
      </c>
      <c r="K251" s="717">
        <f t="shared" si="5"/>
        <v>3867</v>
      </c>
    </row>
    <row r="252" spans="1:11" s="510" customFormat="1" ht="74.25" hidden="1" customHeight="1">
      <c r="A252" s="753"/>
      <c r="B252" s="753"/>
      <c r="C252" s="754"/>
      <c r="D252" s="754"/>
      <c r="E252" s="754"/>
      <c r="F252" s="755"/>
      <c r="G252" s="756"/>
      <c r="H252" s="756"/>
      <c r="I252" s="757"/>
      <c r="J252" s="757"/>
      <c r="K252" s="757"/>
    </row>
    <row r="253" spans="1:11" s="510" customFormat="1" ht="74.25" hidden="1" customHeight="1">
      <c r="A253" s="753"/>
      <c r="B253" s="753"/>
      <c r="C253" s="754"/>
      <c r="D253" s="754"/>
      <c r="E253" s="754"/>
      <c r="F253" s="755"/>
      <c r="G253" s="756"/>
      <c r="H253" s="756"/>
      <c r="I253" s="757"/>
      <c r="J253" s="757"/>
      <c r="K253" s="757"/>
    </row>
    <row r="254" spans="1:11" s="510" customFormat="1" ht="74.25" hidden="1" customHeight="1">
      <c r="A254" s="753"/>
      <c r="B254" s="753"/>
      <c r="C254" s="754"/>
      <c r="D254" s="754"/>
      <c r="E254" s="754"/>
      <c r="F254" s="755"/>
      <c r="G254" s="756"/>
      <c r="H254" s="756"/>
      <c r="I254" s="757"/>
      <c r="J254" s="757"/>
      <c r="K254" s="757"/>
    </row>
    <row r="255" spans="1:11" ht="34.5" hidden="1" customHeight="1">
      <c r="A255" s="1128" t="s">
        <v>51</v>
      </c>
      <c r="B255" s="1128"/>
      <c r="C255" s="1128"/>
      <c r="D255" s="1128"/>
      <c r="E255" s="1128"/>
      <c r="F255" s="1128"/>
      <c r="G255" s="1128"/>
      <c r="H255" s="1128"/>
      <c r="I255" s="1128"/>
      <c r="J255" s="1128"/>
      <c r="K255" s="1128"/>
    </row>
    <row r="256" spans="1:11" ht="30.75" hidden="1" customHeight="1">
      <c r="A256" s="1128" t="s">
        <v>52</v>
      </c>
      <c r="B256" s="1128"/>
      <c r="C256" s="1128"/>
      <c r="D256" s="1128"/>
      <c r="E256" s="1128"/>
      <c r="F256" s="1128"/>
      <c r="G256" s="1128"/>
      <c r="H256" s="1128"/>
      <c r="I256" s="1128"/>
      <c r="J256" s="1128"/>
      <c r="K256" s="1128"/>
    </row>
    <row r="257" spans="1:11" ht="33" hidden="1" customHeight="1">
      <c r="A257" s="1132" t="s">
        <v>50</v>
      </c>
      <c r="B257" s="1132"/>
      <c r="C257" s="1132"/>
      <c r="D257" s="1132"/>
      <c r="E257" s="1132"/>
      <c r="F257" s="1132"/>
      <c r="G257" s="1132"/>
      <c r="H257" s="1132"/>
      <c r="I257" s="1132"/>
      <c r="J257" s="1132"/>
      <c r="K257" s="1132"/>
    </row>
    <row r="258" spans="1:11" ht="33" hidden="1" customHeight="1">
      <c r="A258" s="154"/>
      <c r="B258" s="154"/>
      <c r="C258" s="154"/>
      <c r="D258" s="154"/>
      <c r="E258" s="154"/>
      <c r="F258" s="154"/>
      <c r="G258" s="707"/>
      <c r="H258" s="707"/>
      <c r="I258" s="707"/>
      <c r="J258" s="707"/>
      <c r="K258" s="707"/>
    </row>
    <row r="259" spans="1:11" ht="35.25" hidden="1">
      <c r="A259" s="1128" t="s">
        <v>1489</v>
      </c>
      <c r="B259" s="1128"/>
      <c r="C259" s="1128"/>
      <c r="D259" s="1128"/>
      <c r="E259" s="1128"/>
      <c r="F259" s="1128"/>
      <c r="G259" s="1128"/>
      <c r="H259" s="1128"/>
      <c r="I259" s="1128"/>
      <c r="J259" s="1128"/>
      <c r="K259" s="1128"/>
    </row>
    <row r="260" spans="1:11" s="620" customFormat="1" ht="33" hidden="1">
      <c r="A260" s="65"/>
      <c r="B260" s="65"/>
      <c r="C260" s="65"/>
      <c r="D260" s="65"/>
      <c r="E260" s="65"/>
      <c r="F260" s="65"/>
      <c r="G260" s="68"/>
      <c r="H260" s="68"/>
      <c r="I260" s="68"/>
      <c r="J260" s="68"/>
      <c r="K260" s="68"/>
    </row>
    <row r="261" spans="1:11" ht="20.100000000000001" hidden="1" customHeight="1">
      <c r="A261" s="65"/>
      <c r="B261" s="65"/>
      <c r="C261" s="65"/>
      <c r="D261" s="65"/>
      <c r="E261" s="65"/>
      <c r="F261" s="65"/>
      <c r="G261" s="68"/>
      <c r="H261" s="68"/>
      <c r="I261" s="68"/>
      <c r="J261" s="68"/>
      <c r="K261" s="68"/>
    </row>
    <row r="262" spans="1:11" ht="20.100000000000001" hidden="1" customHeight="1">
      <c r="A262" s="979"/>
      <c r="B262" s="979"/>
      <c r="C262" s="979"/>
      <c r="D262" s="979"/>
      <c r="E262" s="979"/>
      <c r="F262" s="979"/>
      <c r="G262" s="979"/>
      <c r="H262" s="979"/>
      <c r="I262" s="979"/>
      <c r="J262" s="979"/>
      <c r="K262" s="979"/>
    </row>
    <row r="263" spans="1:11" ht="45.75" hidden="1" customHeight="1">
      <c r="A263" s="1030" t="s">
        <v>1381</v>
      </c>
      <c r="B263" s="1030"/>
      <c r="C263" s="1030"/>
      <c r="D263" s="1030"/>
      <c r="E263" s="1030"/>
      <c r="F263" s="1030"/>
      <c r="G263" s="1030"/>
      <c r="H263" s="1030"/>
      <c r="I263" s="1030"/>
      <c r="J263" s="1030"/>
      <c r="K263" s="1030"/>
    </row>
    <row r="264" spans="1:11" ht="66" hidden="1" customHeight="1">
      <c r="A264" s="1031" t="s">
        <v>37</v>
      </c>
      <c r="B264" s="1033"/>
      <c r="C264" s="1037" t="s">
        <v>178</v>
      </c>
      <c r="D264" s="1037" t="s">
        <v>179</v>
      </c>
      <c r="E264" s="1037" t="s">
        <v>1521</v>
      </c>
      <c r="F264" s="1037" t="s">
        <v>14</v>
      </c>
      <c r="G264" s="1037" t="s">
        <v>1515</v>
      </c>
      <c r="H264" s="1037" t="s">
        <v>16</v>
      </c>
      <c r="I264" s="1039" t="s">
        <v>1490</v>
      </c>
      <c r="J264" s="1039" t="s">
        <v>2203</v>
      </c>
      <c r="K264" s="1037" t="s">
        <v>200</v>
      </c>
    </row>
    <row r="265" spans="1:11" s="500" customFormat="1" ht="30" hidden="1">
      <c r="A265" s="1034"/>
      <c r="B265" s="1036"/>
      <c r="C265" s="1038"/>
      <c r="D265" s="1038"/>
      <c r="E265" s="1038"/>
      <c r="F265" s="1038"/>
      <c r="G265" s="1038"/>
      <c r="H265" s="1038"/>
      <c r="I265" s="1039"/>
      <c r="J265" s="1039"/>
      <c r="K265" s="1038"/>
    </row>
    <row r="266" spans="1:11" s="500" customFormat="1" ht="74.25" hidden="1" customHeight="1">
      <c r="A266" s="1102" t="s">
        <v>1803</v>
      </c>
      <c r="B266" s="1103"/>
      <c r="C266" s="729"/>
      <c r="D266" s="729"/>
      <c r="E266" s="726"/>
      <c r="F266" s="727"/>
      <c r="G266" s="728"/>
      <c r="H266" s="728"/>
      <c r="I266" s="642">
        <f>I269+I278+I267</f>
        <v>148380</v>
      </c>
      <c r="J266" s="642">
        <f>J269+J278+J267</f>
        <v>98920</v>
      </c>
      <c r="K266" s="642">
        <f>I266+J266</f>
        <v>247300</v>
      </c>
    </row>
    <row r="267" spans="1:11" s="579" customFormat="1" ht="73.5" hidden="1" customHeight="1">
      <c r="A267" s="1011" t="s">
        <v>2251</v>
      </c>
      <c r="B267" s="1012"/>
      <c r="C267" s="1012"/>
      <c r="D267" s="1012"/>
      <c r="E267" s="1012"/>
      <c r="F267" s="1013"/>
      <c r="G267" s="709"/>
      <c r="H267" s="710"/>
      <c r="I267" s="545">
        <f>I268</f>
        <v>57310.799999999996</v>
      </c>
      <c r="J267" s="545">
        <f>J268</f>
        <v>38207.199999999997</v>
      </c>
      <c r="K267" s="545">
        <f>I267+J267</f>
        <v>95518</v>
      </c>
    </row>
    <row r="268" spans="1:11" s="510" customFormat="1" ht="74.25" hidden="1" customHeight="1">
      <c r="A268" s="1020" t="s">
        <v>1804</v>
      </c>
      <c r="B268" s="1022"/>
      <c r="C268" s="714" t="s">
        <v>1544</v>
      </c>
      <c r="D268" s="714"/>
      <c r="E268" s="714" t="s">
        <v>1544</v>
      </c>
      <c r="F268" s="833" t="s">
        <v>2252</v>
      </c>
      <c r="G268" s="835">
        <v>8100</v>
      </c>
      <c r="H268" s="828" t="s">
        <v>2273</v>
      </c>
      <c r="I268" s="717">
        <f>K268/100*60</f>
        <v>57310.799999999996</v>
      </c>
      <c r="J268" s="717">
        <f>K268/100*40</f>
        <v>38207.199999999997</v>
      </c>
      <c r="K268" s="717">
        <v>95518</v>
      </c>
    </row>
    <row r="269" spans="1:11" ht="75" hidden="1" customHeight="1">
      <c r="A269" s="1011" t="s">
        <v>1541</v>
      </c>
      <c r="B269" s="1013"/>
      <c r="C269" s="709"/>
      <c r="D269" s="709"/>
      <c r="E269" s="709"/>
      <c r="F269" s="708"/>
      <c r="G269" s="709"/>
      <c r="H269" s="710"/>
      <c r="I269" s="545">
        <f>SUM(I270:I277)</f>
        <v>74269.2</v>
      </c>
      <c r="J269" s="545">
        <f>SUM(J270:J277)</f>
        <v>49512.800000000003</v>
      </c>
      <c r="K269" s="545">
        <f>I269+J269</f>
        <v>123782</v>
      </c>
    </row>
    <row r="270" spans="1:11" s="510" customFormat="1" ht="74.25" hidden="1" customHeight="1">
      <c r="A270" s="1020" t="s">
        <v>1842</v>
      </c>
      <c r="B270" s="1022"/>
      <c r="C270" s="714" t="s">
        <v>1544</v>
      </c>
      <c r="D270" s="714"/>
      <c r="E270" s="714" t="s">
        <v>1544</v>
      </c>
      <c r="F270" s="829" t="s">
        <v>2229</v>
      </c>
      <c r="G270" s="1047">
        <v>8100</v>
      </c>
      <c r="H270" s="1099" t="s">
        <v>2273</v>
      </c>
      <c r="I270" s="717">
        <f t="shared" ref="I270:I277" si="6">K270/100*60</f>
        <v>19200</v>
      </c>
      <c r="J270" s="717">
        <f t="shared" ref="J270:J277" si="7">K270/100*40</f>
        <v>12800</v>
      </c>
      <c r="K270" s="717">
        <v>32000</v>
      </c>
    </row>
    <row r="271" spans="1:11" s="510" customFormat="1" ht="75" hidden="1" customHeight="1">
      <c r="A271" s="1020" t="s">
        <v>807</v>
      </c>
      <c r="B271" s="1022"/>
      <c r="C271" s="714" t="s">
        <v>1544</v>
      </c>
      <c r="D271" s="714"/>
      <c r="E271" s="714" t="s">
        <v>1544</v>
      </c>
      <c r="F271" s="833" t="s">
        <v>2236</v>
      </c>
      <c r="G271" s="1048"/>
      <c r="H271" s="1100"/>
      <c r="I271" s="717">
        <f t="shared" si="6"/>
        <v>1200</v>
      </c>
      <c r="J271" s="717">
        <f t="shared" si="7"/>
        <v>800</v>
      </c>
      <c r="K271" s="717">
        <v>2000</v>
      </c>
    </row>
    <row r="272" spans="1:11" s="510" customFormat="1" ht="75" hidden="1" customHeight="1">
      <c r="A272" s="1020" t="s">
        <v>1546</v>
      </c>
      <c r="B272" s="1022"/>
      <c r="C272" s="714" t="s">
        <v>1544</v>
      </c>
      <c r="D272" s="714"/>
      <c r="E272" s="714" t="s">
        <v>1544</v>
      </c>
      <c r="F272" s="829" t="s">
        <v>2230</v>
      </c>
      <c r="G272" s="1048"/>
      <c r="H272" s="1100"/>
      <c r="I272" s="717">
        <f t="shared" si="6"/>
        <v>14400</v>
      </c>
      <c r="J272" s="717">
        <f t="shared" si="7"/>
        <v>9600</v>
      </c>
      <c r="K272" s="717">
        <v>24000</v>
      </c>
    </row>
    <row r="273" spans="1:11" s="510" customFormat="1" ht="75" hidden="1" customHeight="1">
      <c r="A273" s="1020" t="s">
        <v>1568</v>
      </c>
      <c r="B273" s="1022"/>
      <c r="C273" s="714" t="s">
        <v>1544</v>
      </c>
      <c r="D273" s="714"/>
      <c r="E273" s="714" t="s">
        <v>1544</v>
      </c>
      <c r="F273" s="1044" t="s">
        <v>2231</v>
      </c>
      <c r="G273" s="1048"/>
      <c r="H273" s="1100"/>
      <c r="I273" s="717">
        <f t="shared" si="6"/>
        <v>24769.200000000001</v>
      </c>
      <c r="J273" s="717">
        <f t="shared" si="7"/>
        <v>16512.8</v>
      </c>
      <c r="K273" s="717">
        <v>41282</v>
      </c>
    </row>
    <row r="274" spans="1:11" s="510" customFormat="1" ht="75" hidden="1" customHeight="1">
      <c r="A274" s="1020" t="s">
        <v>804</v>
      </c>
      <c r="B274" s="1022"/>
      <c r="C274" s="714" t="s">
        <v>1544</v>
      </c>
      <c r="D274" s="714"/>
      <c r="E274" s="714" t="s">
        <v>1544</v>
      </c>
      <c r="F274" s="1142"/>
      <c r="G274" s="1048"/>
      <c r="H274" s="1100"/>
      <c r="I274" s="717">
        <f t="shared" si="6"/>
        <v>5400</v>
      </c>
      <c r="J274" s="717">
        <f t="shared" si="7"/>
        <v>3600</v>
      </c>
      <c r="K274" s="717">
        <v>9000</v>
      </c>
    </row>
    <row r="275" spans="1:11" s="510" customFormat="1" ht="75" hidden="1" customHeight="1">
      <c r="A275" s="1020" t="s">
        <v>461</v>
      </c>
      <c r="B275" s="1022"/>
      <c r="C275" s="714" t="s">
        <v>1544</v>
      </c>
      <c r="D275" s="714"/>
      <c r="E275" s="714" t="s">
        <v>1544</v>
      </c>
      <c r="F275" s="1142"/>
      <c r="G275" s="1048"/>
      <c r="H275" s="1100"/>
      <c r="I275" s="717">
        <f t="shared" si="6"/>
        <v>3300</v>
      </c>
      <c r="J275" s="717">
        <f t="shared" si="7"/>
        <v>2200</v>
      </c>
      <c r="K275" s="717">
        <v>5500</v>
      </c>
    </row>
    <row r="276" spans="1:11" s="510" customFormat="1" ht="75" hidden="1" customHeight="1">
      <c r="A276" s="1020" t="s">
        <v>805</v>
      </c>
      <c r="B276" s="1022"/>
      <c r="C276" s="714" t="s">
        <v>1544</v>
      </c>
      <c r="D276" s="714"/>
      <c r="E276" s="714" t="s">
        <v>1544</v>
      </c>
      <c r="F276" s="1142"/>
      <c r="G276" s="1048"/>
      <c r="H276" s="1100"/>
      <c r="I276" s="717">
        <f t="shared" si="6"/>
        <v>3000</v>
      </c>
      <c r="J276" s="717">
        <f t="shared" si="7"/>
        <v>2000</v>
      </c>
      <c r="K276" s="717">
        <v>5000</v>
      </c>
    </row>
    <row r="277" spans="1:11" s="510" customFormat="1" ht="75" hidden="1" customHeight="1">
      <c r="A277" s="1020" t="s">
        <v>806</v>
      </c>
      <c r="B277" s="1022"/>
      <c r="C277" s="714" t="s">
        <v>1544</v>
      </c>
      <c r="D277" s="714"/>
      <c r="E277" s="714" t="s">
        <v>1544</v>
      </c>
      <c r="F277" s="1143"/>
      <c r="G277" s="1048"/>
      <c r="H277" s="1100"/>
      <c r="I277" s="717">
        <f t="shared" si="6"/>
        <v>3000</v>
      </c>
      <c r="J277" s="717">
        <f t="shared" si="7"/>
        <v>2000</v>
      </c>
      <c r="K277" s="717">
        <v>5000</v>
      </c>
    </row>
    <row r="278" spans="1:11" ht="73.5" hidden="1" customHeight="1">
      <c r="A278" s="1011" t="s">
        <v>312</v>
      </c>
      <c r="B278" s="1013"/>
      <c r="C278" s="709"/>
      <c r="D278" s="709"/>
      <c r="E278" s="709"/>
      <c r="F278" s="708"/>
      <c r="G278" s="709"/>
      <c r="H278" s="710"/>
      <c r="I278" s="545">
        <f>SUM(I279:I279)</f>
        <v>16800</v>
      </c>
      <c r="J278" s="545">
        <f>SUM(J279:J279)</f>
        <v>11200</v>
      </c>
      <c r="K278" s="545">
        <f>SUM(K279:K279)</f>
        <v>28000</v>
      </c>
    </row>
    <row r="279" spans="1:11" s="510" customFormat="1" ht="74.25" hidden="1" customHeight="1">
      <c r="A279" s="1020" t="s">
        <v>1843</v>
      </c>
      <c r="B279" s="1022"/>
      <c r="C279" s="714" t="s">
        <v>1544</v>
      </c>
      <c r="D279" s="714"/>
      <c r="E279" s="714" t="s">
        <v>1544</v>
      </c>
      <c r="F279" s="833" t="s">
        <v>2224</v>
      </c>
      <c r="G279" s="835">
        <v>8100</v>
      </c>
      <c r="H279" s="834" t="s">
        <v>2273</v>
      </c>
      <c r="I279" s="717">
        <f>K279/100*60</f>
        <v>16800</v>
      </c>
      <c r="J279" s="717">
        <f>K279/100*40</f>
        <v>11200</v>
      </c>
      <c r="K279" s="717">
        <v>28000</v>
      </c>
    </row>
    <row r="280" spans="1:11" s="510" customFormat="1" ht="74.25" hidden="1" customHeight="1">
      <c r="A280" s="753"/>
      <c r="B280" s="753"/>
      <c r="C280" s="754"/>
      <c r="D280" s="754"/>
      <c r="E280" s="754"/>
      <c r="F280" s="755"/>
      <c r="G280" s="758"/>
      <c r="H280" s="756"/>
      <c r="I280" s="757"/>
      <c r="J280" s="757"/>
      <c r="K280" s="757"/>
    </row>
    <row r="281" spans="1:11" s="510" customFormat="1" ht="74.25" hidden="1" customHeight="1">
      <c r="A281" s="753"/>
      <c r="B281" s="753"/>
      <c r="C281" s="754"/>
      <c r="D281" s="754"/>
      <c r="E281" s="754"/>
      <c r="F281" s="755"/>
      <c r="G281" s="758"/>
      <c r="H281" s="756"/>
      <c r="I281" s="757"/>
      <c r="J281" s="757"/>
      <c r="K281" s="757"/>
    </row>
    <row r="282" spans="1:11" ht="34.5" hidden="1" customHeight="1">
      <c r="A282" s="1128" t="s">
        <v>51</v>
      </c>
      <c r="B282" s="1128"/>
      <c r="C282" s="1128"/>
      <c r="D282" s="1128"/>
      <c r="E282" s="1128"/>
      <c r="F282" s="1128"/>
      <c r="G282" s="1128"/>
      <c r="H282" s="1128"/>
      <c r="I282" s="1128"/>
      <c r="J282" s="1128"/>
      <c r="K282" s="1128"/>
    </row>
    <row r="283" spans="1:11" ht="30.75" hidden="1" customHeight="1">
      <c r="A283" s="1128" t="s">
        <v>52</v>
      </c>
      <c r="B283" s="1128"/>
      <c r="C283" s="1128"/>
      <c r="D283" s="1128"/>
      <c r="E283" s="1128"/>
      <c r="F283" s="1128"/>
      <c r="G283" s="1128"/>
      <c r="H283" s="1128"/>
      <c r="I283" s="1128"/>
      <c r="J283" s="1128"/>
      <c r="K283" s="1128"/>
    </row>
    <row r="284" spans="1:11" ht="33" hidden="1" customHeight="1">
      <c r="A284" s="1132" t="s">
        <v>50</v>
      </c>
      <c r="B284" s="1132"/>
      <c r="C284" s="1132"/>
      <c r="D284" s="1132"/>
      <c r="E284" s="1132"/>
      <c r="F284" s="1132"/>
      <c r="G284" s="1132"/>
      <c r="H284" s="1132"/>
      <c r="I284" s="1132"/>
      <c r="J284" s="1132"/>
      <c r="K284" s="1132"/>
    </row>
    <row r="285" spans="1:11" ht="33" hidden="1" customHeight="1">
      <c r="A285" s="154"/>
      <c r="B285" s="154"/>
      <c r="C285" s="154"/>
      <c r="D285" s="154"/>
      <c r="E285" s="154"/>
      <c r="F285" s="154"/>
      <c r="G285" s="707"/>
      <c r="H285" s="707"/>
      <c r="I285" s="707"/>
      <c r="J285" s="707"/>
      <c r="K285" s="707"/>
    </row>
    <row r="286" spans="1:11" ht="35.25" hidden="1">
      <c r="A286" s="1128" t="s">
        <v>1489</v>
      </c>
      <c r="B286" s="1128"/>
      <c r="C286" s="1128"/>
      <c r="D286" s="1128"/>
      <c r="E286" s="1128"/>
      <c r="F286" s="1128"/>
      <c r="G286" s="1128"/>
      <c r="H286" s="1128"/>
      <c r="I286" s="1128"/>
      <c r="J286" s="1128"/>
      <c r="K286" s="1128"/>
    </row>
    <row r="287" spans="1:11" s="620" customFormat="1" ht="33" hidden="1">
      <c r="A287" s="65"/>
      <c r="B287" s="65"/>
      <c r="C287" s="65"/>
      <c r="D287" s="65"/>
      <c r="E287" s="65"/>
      <c r="F287" s="65"/>
      <c r="G287" s="68"/>
      <c r="H287" s="68"/>
      <c r="I287" s="68"/>
      <c r="J287" s="68"/>
      <c r="K287" s="68"/>
    </row>
    <row r="288" spans="1:11" ht="20.100000000000001" hidden="1" customHeight="1">
      <c r="A288" s="65"/>
      <c r="B288" s="65"/>
      <c r="C288" s="65"/>
      <c r="D288" s="65"/>
      <c r="E288" s="65"/>
      <c r="F288" s="65"/>
      <c r="G288" s="68"/>
      <c r="H288" s="68"/>
      <c r="I288" s="68"/>
      <c r="J288" s="68"/>
      <c r="K288" s="68"/>
    </row>
    <row r="289" spans="1:11" ht="20.100000000000001" hidden="1" customHeight="1">
      <c r="A289" s="979"/>
      <c r="B289" s="979"/>
      <c r="C289" s="979"/>
      <c r="D289" s="979"/>
      <c r="E289" s="979"/>
      <c r="F289" s="979"/>
      <c r="G289" s="979"/>
      <c r="H289" s="979"/>
      <c r="I289" s="979"/>
      <c r="J289" s="979"/>
      <c r="K289" s="979"/>
    </row>
    <row r="290" spans="1:11" ht="45.75" hidden="1" customHeight="1">
      <c r="A290" s="1030" t="s">
        <v>1381</v>
      </c>
      <c r="B290" s="1030"/>
      <c r="C290" s="1030"/>
      <c r="D290" s="1030"/>
      <c r="E290" s="1030"/>
      <c r="F290" s="1030"/>
      <c r="G290" s="1030"/>
      <c r="H290" s="1030"/>
      <c r="I290" s="1030"/>
      <c r="J290" s="1030"/>
      <c r="K290" s="1030"/>
    </row>
    <row r="291" spans="1:11" ht="66" hidden="1" customHeight="1">
      <c r="A291" s="1031" t="s">
        <v>37</v>
      </c>
      <c r="B291" s="1033"/>
      <c r="C291" s="1037" t="s">
        <v>178</v>
      </c>
      <c r="D291" s="1037" t="s">
        <v>179</v>
      </c>
      <c r="E291" s="1037" t="s">
        <v>1521</v>
      </c>
      <c r="F291" s="1037" t="s">
        <v>14</v>
      </c>
      <c r="G291" s="1037" t="s">
        <v>1515</v>
      </c>
      <c r="H291" s="1037" t="s">
        <v>16</v>
      </c>
      <c r="I291" s="1039" t="s">
        <v>1490</v>
      </c>
      <c r="J291" s="1039" t="s">
        <v>2203</v>
      </c>
      <c r="K291" s="1037" t="s">
        <v>200</v>
      </c>
    </row>
    <row r="292" spans="1:11" s="500" customFormat="1" ht="30" hidden="1">
      <c r="A292" s="1034"/>
      <c r="B292" s="1036"/>
      <c r="C292" s="1038"/>
      <c r="D292" s="1038"/>
      <c r="E292" s="1038"/>
      <c r="F292" s="1038"/>
      <c r="G292" s="1038"/>
      <c r="H292" s="1038"/>
      <c r="I292" s="1039"/>
      <c r="J292" s="1039"/>
      <c r="K292" s="1038"/>
    </row>
    <row r="293" spans="1:11" s="500" customFormat="1" ht="74.25" hidden="1" customHeight="1">
      <c r="A293" s="1102" t="s">
        <v>1711</v>
      </c>
      <c r="B293" s="1103"/>
      <c r="C293" s="729"/>
      <c r="D293" s="729"/>
      <c r="E293" s="726"/>
      <c r="F293" s="727"/>
      <c r="G293" s="728"/>
      <c r="H293" s="728"/>
      <c r="I293" s="642">
        <f>I294+I309+I312</f>
        <v>908290</v>
      </c>
      <c r="J293" s="642">
        <f>J294+J309+J312</f>
        <v>552680</v>
      </c>
      <c r="K293" s="642">
        <f>I293+J293</f>
        <v>1460970</v>
      </c>
    </row>
    <row r="294" spans="1:11" ht="74.25" hidden="1" customHeight="1">
      <c r="A294" s="1011" t="s">
        <v>332</v>
      </c>
      <c r="B294" s="1013"/>
      <c r="C294" s="504"/>
      <c r="D294" s="709"/>
      <c r="E294" s="709"/>
      <c r="F294" s="708"/>
      <c r="G294" s="709"/>
      <c r="H294" s="710"/>
      <c r="I294" s="545">
        <f>SUM(I295:I308)</f>
        <v>718666</v>
      </c>
      <c r="J294" s="545">
        <f>SUM(J295:J308)</f>
        <v>427202</v>
      </c>
      <c r="K294" s="545">
        <f>I294+J294</f>
        <v>1145868</v>
      </c>
    </row>
    <row r="295" spans="1:11" s="510" customFormat="1" ht="74.25" hidden="1" customHeight="1">
      <c r="A295" s="1059" t="s">
        <v>1779</v>
      </c>
      <c r="B295" s="1061"/>
      <c r="C295" s="789" t="s">
        <v>1727</v>
      </c>
      <c r="D295" s="789">
        <v>18</v>
      </c>
      <c r="E295" s="789" t="s">
        <v>1728</v>
      </c>
      <c r="F295" s="829" t="s">
        <v>2237</v>
      </c>
      <c r="G295" s="1047">
        <v>8100</v>
      </c>
      <c r="H295" s="1099" t="s">
        <v>2446</v>
      </c>
      <c r="I295" s="717">
        <f>73439+4900</f>
        <v>78339</v>
      </c>
      <c r="J295" s="717"/>
      <c r="K295" s="717">
        <v>73439</v>
      </c>
    </row>
    <row r="296" spans="1:11" s="510" customFormat="1" ht="74.25" hidden="1" customHeight="1">
      <c r="A296" s="1020" t="s">
        <v>1769</v>
      </c>
      <c r="B296" s="1022"/>
      <c r="C296" s="714" t="s">
        <v>1730</v>
      </c>
      <c r="D296" s="714">
        <v>5</v>
      </c>
      <c r="E296" s="714" t="s">
        <v>1731</v>
      </c>
      <c r="F296" s="1044" t="s">
        <v>2226</v>
      </c>
      <c r="G296" s="1048"/>
      <c r="H296" s="1100"/>
      <c r="I296" s="717">
        <f t="shared" ref="I296:I305" si="8">K296/100*60</f>
        <v>10500</v>
      </c>
      <c r="J296" s="717">
        <f t="shared" ref="J296:J305" si="9">K296/100*40</f>
        <v>7000</v>
      </c>
      <c r="K296" s="717">
        <v>17500</v>
      </c>
    </row>
    <row r="297" spans="1:11" s="510" customFormat="1" ht="74.25" hidden="1" customHeight="1">
      <c r="A297" s="1020" t="s">
        <v>1770</v>
      </c>
      <c r="B297" s="1022"/>
      <c r="C297" s="714" t="s">
        <v>1732</v>
      </c>
      <c r="D297" s="714">
        <v>10</v>
      </c>
      <c r="E297" s="714" t="s">
        <v>1733</v>
      </c>
      <c r="F297" s="1045"/>
      <c r="G297" s="1048"/>
      <c r="H297" s="1100"/>
      <c r="I297" s="717">
        <f t="shared" si="8"/>
        <v>21000</v>
      </c>
      <c r="J297" s="717">
        <f t="shared" si="9"/>
        <v>14000</v>
      </c>
      <c r="K297" s="717">
        <v>35000</v>
      </c>
    </row>
    <row r="298" spans="1:11" s="510" customFormat="1" ht="74.25" hidden="1" customHeight="1">
      <c r="A298" s="1020" t="s">
        <v>1775</v>
      </c>
      <c r="B298" s="1022"/>
      <c r="C298" s="714" t="s">
        <v>1716</v>
      </c>
      <c r="D298" s="714">
        <v>15</v>
      </c>
      <c r="E298" s="714" t="s">
        <v>1717</v>
      </c>
      <c r="F298" s="1046"/>
      <c r="G298" s="1048"/>
      <c r="H298" s="1100"/>
      <c r="I298" s="717">
        <f>K298/100*60</f>
        <v>80400</v>
      </c>
      <c r="J298" s="717">
        <f>K298/100*40</f>
        <v>53600</v>
      </c>
      <c r="K298" s="717">
        <v>134000</v>
      </c>
    </row>
    <row r="299" spans="1:11" s="510" customFormat="1" ht="74.25" hidden="1" customHeight="1">
      <c r="A299" s="1020" t="s">
        <v>1771</v>
      </c>
      <c r="B299" s="1022"/>
      <c r="C299" s="714" t="s">
        <v>1734</v>
      </c>
      <c r="D299" s="714">
        <v>90</v>
      </c>
      <c r="E299" s="714" t="s">
        <v>1728</v>
      </c>
      <c r="F299" s="833" t="s">
        <v>2238</v>
      </c>
      <c r="G299" s="1048"/>
      <c r="H299" s="1100"/>
      <c r="I299" s="717">
        <f t="shared" si="8"/>
        <v>48000</v>
      </c>
      <c r="J299" s="717">
        <f t="shared" si="9"/>
        <v>32000</v>
      </c>
      <c r="K299" s="717">
        <v>80000</v>
      </c>
    </row>
    <row r="300" spans="1:11" s="510" customFormat="1" ht="74.25" hidden="1" customHeight="1">
      <c r="A300" s="1020" t="s">
        <v>1772</v>
      </c>
      <c r="B300" s="1022"/>
      <c r="C300" s="714" t="s">
        <v>1735</v>
      </c>
      <c r="D300" s="714">
        <v>32</v>
      </c>
      <c r="E300" s="714" t="s">
        <v>1728</v>
      </c>
      <c r="F300" s="1104" t="s">
        <v>2239</v>
      </c>
      <c r="G300" s="1048"/>
      <c r="H300" s="1100"/>
      <c r="I300" s="717">
        <f t="shared" si="8"/>
        <v>51600</v>
      </c>
      <c r="J300" s="717">
        <f t="shared" si="9"/>
        <v>34400</v>
      </c>
      <c r="K300" s="717">
        <v>86000</v>
      </c>
    </row>
    <row r="301" spans="1:11" s="510" customFormat="1" ht="74.25" hidden="1" customHeight="1">
      <c r="A301" s="1020" t="s">
        <v>1773</v>
      </c>
      <c r="B301" s="1022"/>
      <c r="C301" s="714" t="s">
        <v>1736</v>
      </c>
      <c r="D301" s="714">
        <v>68</v>
      </c>
      <c r="E301" s="714" t="s">
        <v>1728</v>
      </c>
      <c r="F301" s="1104"/>
      <c r="G301" s="1048"/>
      <c r="H301" s="1100"/>
      <c r="I301" s="717">
        <f t="shared" si="8"/>
        <v>37200</v>
      </c>
      <c r="J301" s="717">
        <f t="shared" si="9"/>
        <v>24800</v>
      </c>
      <c r="K301" s="717">
        <v>62000</v>
      </c>
    </row>
    <row r="302" spans="1:11" s="510" customFormat="1" ht="74.25" hidden="1" customHeight="1">
      <c r="A302" s="1020" t="s">
        <v>1774</v>
      </c>
      <c r="B302" s="1022"/>
      <c r="C302" s="714" t="s">
        <v>1737</v>
      </c>
      <c r="D302" s="714">
        <v>70</v>
      </c>
      <c r="E302" s="714" t="s">
        <v>1728</v>
      </c>
      <c r="F302" s="1104"/>
      <c r="G302" s="1048"/>
      <c r="H302" s="1100"/>
      <c r="I302" s="717">
        <f>191236-38536</f>
        <v>152700</v>
      </c>
      <c r="J302" s="717">
        <f>127490-6464</f>
        <v>121026</v>
      </c>
      <c r="K302" s="717">
        <f>I302+J302</f>
        <v>273726</v>
      </c>
    </row>
    <row r="303" spans="1:11" s="510" customFormat="1" ht="74.25" hidden="1" customHeight="1">
      <c r="A303" s="1020" t="s">
        <v>2464</v>
      </c>
      <c r="B303" s="1022"/>
      <c r="C303" s="714" t="s">
        <v>1544</v>
      </c>
      <c r="D303" s="714"/>
      <c r="E303" s="714" t="s">
        <v>1544</v>
      </c>
      <c r="F303" s="1104"/>
      <c r="G303" s="1048"/>
      <c r="H303" s="1100"/>
      <c r="I303" s="717">
        <f t="shared" si="8"/>
        <v>13800</v>
      </c>
      <c r="J303" s="717">
        <f t="shared" si="9"/>
        <v>9200</v>
      </c>
      <c r="K303" s="717">
        <v>23000</v>
      </c>
    </row>
    <row r="304" spans="1:11" s="510" customFormat="1" ht="74.25" hidden="1" customHeight="1">
      <c r="A304" s="1020" t="s">
        <v>1776</v>
      </c>
      <c r="B304" s="1022"/>
      <c r="C304" s="714" t="s">
        <v>1738</v>
      </c>
      <c r="D304" s="714">
        <v>20</v>
      </c>
      <c r="E304" s="714" t="s">
        <v>1728</v>
      </c>
      <c r="F304" s="1044" t="s">
        <v>2240</v>
      </c>
      <c r="G304" s="1048"/>
      <c r="H304" s="1100"/>
      <c r="I304" s="717">
        <f t="shared" si="8"/>
        <v>5700</v>
      </c>
      <c r="J304" s="717">
        <f t="shared" si="9"/>
        <v>3800</v>
      </c>
      <c r="K304" s="717">
        <v>9500</v>
      </c>
    </row>
    <row r="305" spans="1:11" s="510" customFormat="1" ht="74.25" hidden="1" customHeight="1">
      <c r="A305" s="1020" t="s">
        <v>1777</v>
      </c>
      <c r="B305" s="1022"/>
      <c r="C305" s="714" t="s">
        <v>1739</v>
      </c>
      <c r="D305" s="714">
        <v>12</v>
      </c>
      <c r="E305" s="714" t="s">
        <v>1728</v>
      </c>
      <c r="F305" s="1046"/>
      <c r="G305" s="1049"/>
      <c r="H305" s="1101"/>
      <c r="I305" s="717">
        <f t="shared" si="8"/>
        <v>191064</v>
      </c>
      <c r="J305" s="717">
        <f t="shared" si="9"/>
        <v>127376</v>
      </c>
      <c r="K305" s="717">
        <v>318440</v>
      </c>
    </row>
    <row r="306" spans="1:11" s="510" customFormat="1" ht="21.75" hidden="1" customHeight="1">
      <c r="A306" s="825"/>
      <c r="B306" s="826"/>
      <c r="C306" s="714"/>
      <c r="D306" s="714"/>
      <c r="E306" s="714"/>
      <c r="F306" s="830"/>
      <c r="G306" s="831"/>
      <c r="H306" s="832"/>
      <c r="I306" s="717"/>
      <c r="J306" s="717"/>
      <c r="K306" s="717"/>
    </row>
    <row r="307" spans="1:11" s="510" customFormat="1" ht="74.25" hidden="1" customHeight="1">
      <c r="A307" s="1008" t="s">
        <v>2478</v>
      </c>
      <c r="B307" s="1010"/>
      <c r="C307" s="818"/>
      <c r="D307" s="818"/>
      <c r="E307" s="818"/>
      <c r="F307" s="819"/>
      <c r="G307" s="815"/>
      <c r="H307" s="816"/>
      <c r="I307" s="817">
        <v>23881</v>
      </c>
      <c r="J307" s="817"/>
      <c r="K307" s="817">
        <f t="shared" ref="K307:K313" si="10">I307+J307</f>
        <v>23881</v>
      </c>
    </row>
    <row r="308" spans="1:11" s="510" customFormat="1" ht="74.25" hidden="1" customHeight="1">
      <c r="A308" s="1096" t="s">
        <v>2477</v>
      </c>
      <c r="B308" s="1097"/>
      <c r="C308" s="814"/>
      <c r="D308" s="814"/>
      <c r="E308" s="814"/>
      <c r="F308" s="820"/>
      <c r="G308" s="815"/>
      <c r="H308" s="816"/>
      <c r="I308" s="817">
        <v>4482</v>
      </c>
      <c r="J308" s="817"/>
      <c r="K308" s="817">
        <f t="shared" si="10"/>
        <v>4482</v>
      </c>
    </row>
    <row r="309" spans="1:11" ht="74.25" hidden="1" customHeight="1">
      <c r="A309" s="1011" t="s">
        <v>481</v>
      </c>
      <c r="B309" s="1013"/>
      <c r="C309" s="504"/>
      <c r="D309" s="709"/>
      <c r="E309" s="709"/>
      <c r="F309" s="708"/>
      <c r="G309" s="709"/>
      <c r="H309" s="710"/>
      <c r="I309" s="545">
        <f>SUM(I310:I311)</f>
        <v>184981</v>
      </c>
      <c r="J309" s="545">
        <f>SUM(J310:J311)</f>
        <v>122283</v>
      </c>
      <c r="K309" s="545">
        <f t="shared" si="10"/>
        <v>307264</v>
      </c>
    </row>
    <row r="310" spans="1:11" s="510" customFormat="1" ht="74.25" hidden="1" customHeight="1">
      <c r="A310" s="1020" t="s">
        <v>1778</v>
      </c>
      <c r="B310" s="1022"/>
      <c r="C310" s="714" t="s">
        <v>1756</v>
      </c>
      <c r="D310" s="714">
        <v>200</v>
      </c>
      <c r="E310" s="714" t="s">
        <v>1731</v>
      </c>
      <c r="F310" s="833" t="s">
        <v>2232</v>
      </c>
      <c r="G310" s="834" t="s">
        <v>1321</v>
      </c>
      <c r="H310" s="834" t="s">
        <v>2451</v>
      </c>
      <c r="I310" s="717">
        <v>177672</v>
      </c>
      <c r="J310" s="717">
        <v>122283</v>
      </c>
      <c r="K310" s="717">
        <f t="shared" si="10"/>
        <v>299955</v>
      </c>
    </row>
    <row r="311" spans="1:11" s="510" customFormat="1" ht="74.25" hidden="1" customHeight="1">
      <c r="A311" s="1008" t="s">
        <v>2476</v>
      </c>
      <c r="B311" s="1010"/>
      <c r="C311" s="818"/>
      <c r="D311" s="818"/>
      <c r="E311" s="818"/>
      <c r="F311" s="810"/>
      <c r="G311" s="812"/>
      <c r="H311" s="812"/>
      <c r="I311" s="817">
        <v>7309</v>
      </c>
      <c r="J311" s="817"/>
      <c r="K311" s="817">
        <f t="shared" si="10"/>
        <v>7309</v>
      </c>
    </row>
    <row r="312" spans="1:11" ht="74.25" hidden="1" customHeight="1">
      <c r="A312" s="1011" t="s">
        <v>1248</v>
      </c>
      <c r="B312" s="1107"/>
      <c r="C312" s="504"/>
      <c r="D312" s="709"/>
      <c r="E312" s="709"/>
      <c r="F312" s="708"/>
      <c r="G312" s="709"/>
      <c r="H312" s="710"/>
      <c r="I312" s="545">
        <f>SUM(I313)</f>
        <v>4643</v>
      </c>
      <c r="J312" s="545">
        <f>SUM(J313)</f>
        <v>3195</v>
      </c>
      <c r="K312" s="545">
        <f t="shared" si="10"/>
        <v>7838</v>
      </c>
    </row>
    <row r="313" spans="1:11" s="510" customFormat="1" ht="74.25" hidden="1" customHeight="1">
      <c r="A313" s="1020" t="s">
        <v>1319</v>
      </c>
      <c r="B313" s="1022"/>
      <c r="C313" s="714" t="s">
        <v>1544</v>
      </c>
      <c r="D313" s="714"/>
      <c r="E313" s="714" t="s">
        <v>1544</v>
      </c>
      <c r="F313" s="833" t="s">
        <v>2233</v>
      </c>
      <c r="G313" s="834" t="s">
        <v>1321</v>
      </c>
      <c r="H313" s="834" t="s">
        <v>2447</v>
      </c>
      <c r="I313" s="717">
        <v>4643</v>
      </c>
      <c r="J313" s="717">
        <v>3195</v>
      </c>
      <c r="K313" s="717">
        <f t="shared" si="10"/>
        <v>7838</v>
      </c>
    </row>
    <row r="314" spans="1:11" ht="48" hidden="1" customHeight="1">
      <c r="A314" s="1041" t="s">
        <v>2455</v>
      </c>
      <c r="B314" s="1041"/>
      <c r="C314" s="1042"/>
      <c r="D314" s="1042"/>
      <c r="E314" s="1042"/>
      <c r="F314" s="1042"/>
      <c r="G314" s="1042"/>
      <c r="H314" s="1042"/>
      <c r="I314" s="1042"/>
      <c r="J314" s="27"/>
      <c r="K314" s="27"/>
    </row>
    <row r="315" spans="1:11" ht="42" hidden="1" customHeight="1">
      <c r="A315" s="1041" t="s">
        <v>2456</v>
      </c>
      <c r="B315" s="1041"/>
      <c r="C315" s="1042"/>
      <c r="D315" s="1042"/>
      <c r="E315" s="1042"/>
      <c r="F315" s="1042"/>
      <c r="G315" s="1042"/>
      <c r="H315" s="1042"/>
      <c r="I315" s="1042"/>
      <c r="J315" s="27"/>
      <c r="K315" s="27"/>
    </row>
    <row r="316" spans="1:11" s="743" customFormat="1" ht="36.75" hidden="1" customHeight="1">
      <c r="A316" s="1135"/>
      <c r="B316" s="1136"/>
      <c r="C316" s="738"/>
      <c r="D316" s="738"/>
      <c r="E316" s="739"/>
      <c r="F316" s="740"/>
      <c r="G316" s="741"/>
      <c r="H316" s="741"/>
      <c r="I316" s="742"/>
      <c r="J316" s="742"/>
      <c r="K316" s="742"/>
    </row>
    <row r="317" spans="1:11" ht="66" hidden="1" customHeight="1">
      <c r="A317" s="1031" t="s">
        <v>37</v>
      </c>
      <c r="B317" s="1033"/>
      <c r="C317" s="1037" t="s">
        <v>178</v>
      </c>
      <c r="D317" s="1037" t="s">
        <v>179</v>
      </c>
      <c r="E317" s="1037" t="s">
        <v>1521</v>
      </c>
      <c r="F317" s="1037" t="s">
        <v>14</v>
      </c>
      <c r="G317" s="1037" t="s">
        <v>1515</v>
      </c>
      <c r="H317" s="1037" t="s">
        <v>16</v>
      </c>
      <c r="I317" s="1039" t="s">
        <v>1490</v>
      </c>
      <c r="J317" s="1039" t="s">
        <v>2203</v>
      </c>
      <c r="K317" s="1037" t="s">
        <v>200</v>
      </c>
    </row>
    <row r="318" spans="1:11" s="500" customFormat="1" ht="30" hidden="1">
      <c r="A318" s="1034"/>
      <c r="B318" s="1036"/>
      <c r="C318" s="1038"/>
      <c r="D318" s="1038"/>
      <c r="E318" s="1038"/>
      <c r="F318" s="1038"/>
      <c r="G318" s="1038"/>
      <c r="H318" s="1038"/>
      <c r="I318" s="1039"/>
      <c r="J318" s="1039"/>
      <c r="K318" s="1038"/>
    </row>
    <row r="319" spans="1:11" s="500" customFormat="1" ht="74.25" hidden="1" customHeight="1">
      <c r="A319" s="1102" t="s">
        <v>1602</v>
      </c>
      <c r="B319" s="1103"/>
      <c r="C319" s="729"/>
      <c r="D319" s="729"/>
      <c r="E319" s="726"/>
      <c r="F319" s="727"/>
      <c r="G319" s="728"/>
      <c r="H319" s="728"/>
      <c r="I319" s="642">
        <f>I320+I322+I328</f>
        <v>711751.8</v>
      </c>
      <c r="J319" s="642">
        <f>J320+J322+J328</f>
        <v>474501.2</v>
      </c>
      <c r="K319" s="642">
        <f>I319+J319</f>
        <v>1186253</v>
      </c>
    </row>
    <row r="320" spans="1:11" s="579" customFormat="1" ht="73.5" hidden="1" customHeight="1">
      <c r="A320" s="1011" t="s">
        <v>2251</v>
      </c>
      <c r="B320" s="1012"/>
      <c r="C320" s="1012"/>
      <c r="D320" s="1012"/>
      <c r="E320" s="1012"/>
      <c r="F320" s="1013"/>
      <c r="G320" s="709"/>
      <c r="H320" s="710"/>
      <c r="I320" s="545">
        <f>I321</f>
        <v>531000</v>
      </c>
      <c r="J320" s="545">
        <f>J321</f>
        <v>354000</v>
      </c>
      <c r="K320" s="545">
        <f>I320+J320</f>
        <v>885000</v>
      </c>
    </row>
    <row r="321" spans="1:11" s="510" customFormat="1" ht="74.25" hidden="1" customHeight="1">
      <c r="A321" s="1020" t="s">
        <v>1603</v>
      </c>
      <c r="B321" s="1022"/>
      <c r="C321" s="714" t="s">
        <v>147</v>
      </c>
      <c r="D321" s="714">
        <v>324</v>
      </c>
      <c r="E321" s="725" t="s">
        <v>1573</v>
      </c>
      <c r="F321" s="833" t="s">
        <v>2253</v>
      </c>
      <c r="G321" s="835">
        <v>8100</v>
      </c>
      <c r="H321" s="834" t="s">
        <v>2273</v>
      </c>
      <c r="I321" s="717">
        <f>K321/100*60</f>
        <v>531000</v>
      </c>
      <c r="J321" s="717">
        <f>K321/100*40</f>
        <v>354000</v>
      </c>
      <c r="K321" s="717">
        <v>885000</v>
      </c>
    </row>
    <row r="322" spans="1:11" ht="75" hidden="1" customHeight="1">
      <c r="A322" s="1011" t="s">
        <v>1541</v>
      </c>
      <c r="B322" s="1013"/>
      <c r="C322" s="709"/>
      <c r="D322" s="709"/>
      <c r="E322" s="709"/>
      <c r="F322" s="708"/>
      <c r="G322" s="709"/>
      <c r="H322" s="710"/>
      <c r="I322" s="545">
        <f>SUM(I323:I327)</f>
        <v>173551.8</v>
      </c>
      <c r="J322" s="545">
        <f>SUM(J323:J327)</f>
        <v>115701.2</v>
      </c>
      <c r="K322" s="545">
        <f>I322+J322</f>
        <v>289253</v>
      </c>
    </row>
    <row r="323" spans="1:11" s="510" customFormat="1" ht="74.25" hidden="1" customHeight="1">
      <c r="A323" s="1020" t="s">
        <v>1604</v>
      </c>
      <c r="B323" s="1022"/>
      <c r="C323" s="714" t="s">
        <v>1608</v>
      </c>
      <c r="D323" s="714">
        <v>10</v>
      </c>
      <c r="E323" s="725" t="s">
        <v>1609</v>
      </c>
      <c r="F323" s="1044" t="s">
        <v>2229</v>
      </c>
      <c r="G323" s="1047">
        <v>8100</v>
      </c>
      <c r="H323" s="1099" t="s">
        <v>2273</v>
      </c>
      <c r="I323" s="717">
        <f>K323/100*60</f>
        <v>86601</v>
      </c>
      <c r="J323" s="717">
        <f>K323/100*40</f>
        <v>57734</v>
      </c>
      <c r="K323" s="717">
        <v>144335</v>
      </c>
    </row>
    <row r="324" spans="1:11" s="510" customFormat="1" ht="75" hidden="1" customHeight="1">
      <c r="A324" s="1020" t="s">
        <v>1605</v>
      </c>
      <c r="B324" s="1022"/>
      <c r="C324" s="714" t="s">
        <v>1610</v>
      </c>
      <c r="D324" s="714">
        <v>4</v>
      </c>
      <c r="E324" s="725" t="s">
        <v>1611</v>
      </c>
      <c r="F324" s="1046"/>
      <c r="G324" s="1048"/>
      <c r="H324" s="1100"/>
      <c r="I324" s="717">
        <f>K324/100*60</f>
        <v>4800</v>
      </c>
      <c r="J324" s="717">
        <f>K324/100*40</f>
        <v>3200</v>
      </c>
      <c r="K324" s="717">
        <v>8000</v>
      </c>
    </row>
    <row r="325" spans="1:11" s="510" customFormat="1" ht="75" hidden="1" customHeight="1">
      <c r="A325" s="1020" t="s">
        <v>1606</v>
      </c>
      <c r="B325" s="1022"/>
      <c r="C325" s="714" t="s">
        <v>1612</v>
      </c>
      <c r="D325" s="744">
        <v>20</v>
      </c>
      <c r="E325" s="725" t="s">
        <v>1613</v>
      </c>
      <c r="F325" s="829" t="s">
        <v>2230</v>
      </c>
      <c r="G325" s="1048"/>
      <c r="H325" s="1100"/>
      <c r="I325" s="717">
        <f>K325/100*60</f>
        <v>42000</v>
      </c>
      <c r="J325" s="717">
        <f>K325/100*40</f>
        <v>28000</v>
      </c>
      <c r="K325" s="717">
        <v>70000</v>
      </c>
    </row>
    <row r="326" spans="1:11" s="510" customFormat="1" ht="75" hidden="1" customHeight="1">
      <c r="A326" s="1020" t="s">
        <v>1607</v>
      </c>
      <c r="B326" s="1022"/>
      <c r="C326" s="714" t="s">
        <v>1614</v>
      </c>
      <c r="D326" s="714">
        <v>15</v>
      </c>
      <c r="E326" s="725" t="s">
        <v>1615</v>
      </c>
      <c r="F326" s="1044" t="s">
        <v>2231</v>
      </c>
      <c r="G326" s="1048"/>
      <c r="H326" s="1100"/>
      <c r="I326" s="717">
        <f>K326/100*60</f>
        <v>30000</v>
      </c>
      <c r="J326" s="717">
        <f>K326/100*40</f>
        <v>20000</v>
      </c>
      <c r="K326" s="717">
        <v>50000</v>
      </c>
    </row>
    <row r="327" spans="1:11" s="510" customFormat="1" ht="75" hidden="1" customHeight="1">
      <c r="A327" s="1020" t="s">
        <v>1496</v>
      </c>
      <c r="B327" s="1022"/>
      <c r="C327" s="714" t="s">
        <v>1616</v>
      </c>
      <c r="D327" s="714">
        <v>30</v>
      </c>
      <c r="E327" s="725" t="s">
        <v>1615</v>
      </c>
      <c r="F327" s="1046"/>
      <c r="G327" s="1048"/>
      <c r="H327" s="1100"/>
      <c r="I327" s="717">
        <f>K327/100*60</f>
        <v>10150.800000000001</v>
      </c>
      <c r="J327" s="717">
        <f>K327/100*40</f>
        <v>6767.2000000000007</v>
      </c>
      <c r="K327" s="717">
        <v>16918</v>
      </c>
    </row>
    <row r="328" spans="1:11" ht="74.25" hidden="1" customHeight="1">
      <c r="A328" s="1011" t="s">
        <v>278</v>
      </c>
      <c r="B328" s="1013"/>
      <c r="C328" s="504"/>
      <c r="D328" s="709"/>
      <c r="E328" s="709"/>
      <c r="F328" s="708"/>
      <c r="G328" s="709"/>
      <c r="H328" s="710"/>
      <c r="I328" s="545">
        <f>SUM(I329)</f>
        <v>7200</v>
      </c>
      <c r="J328" s="545">
        <f>SUM(J329)</f>
        <v>4800</v>
      </c>
      <c r="K328" s="545">
        <f>I328+J328</f>
        <v>12000</v>
      </c>
    </row>
    <row r="329" spans="1:11" s="510" customFormat="1" ht="74.25" hidden="1" customHeight="1">
      <c r="A329" s="1020" t="s">
        <v>1586</v>
      </c>
      <c r="B329" s="1022"/>
      <c r="C329" s="714" t="s">
        <v>18</v>
      </c>
      <c r="D329" s="714">
        <v>50</v>
      </c>
      <c r="E329" s="725" t="s">
        <v>1617</v>
      </c>
      <c r="F329" s="833" t="s">
        <v>2234</v>
      </c>
      <c r="G329" s="835">
        <v>8100</v>
      </c>
      <c r="H329" s="834" t="s">
        <v>2445</v>
      </c>
      <c r="I329" s="717">
        <f>K329/100*60</f>
        <v>7200</v>
      </c>
      <c r="J329" s="717">
        <f>K329/100*40</f>
        <v>4800</v>
      </c>
      <c r="K329" s="717">
        <v>12000</v>
      </c>
    </row>
    <row r="330" spans="1:11" s="510" customFormat="1" ht="74.25" hidden="1" customHeight="1">
      <c r="A330" s="753"/>
      <c r="B330" s="753"/>
      <c r="C330" s="754"/>
      <c r="D330" s="754"/>
      <c r="E330" s="759"/>
      <c r="F330" s="755"/>
      <c r="G330" s="758"/>
      <c r="H330" s="756"/>
      <c r="I330" s="757"/>
      <c r="J330" s="757"/>
      <c r="K330" s="757"/>
    </row>
    <row r="331" spans="1:11" s="510" customFormat="1" ht="74.25" hidden="1" customHeight="1">
      <c r="A331" s="753"/>
      <c r="B331" s="753"/>
      <c r="C331" s="754"/>
      <c r="D331" s="754"/>
      <c r="E331" s="759"/>
      <c r="F331" s="755"/>
      <c r="G331" s="758"/>
      <c r="H331" s="756"/>
      <c r="I331" s="757"/>
      <c r="J331" s="757"/>
      <c r="K331" s="757"/>
    </row>
    <row r="332" spans="1:11" ht="34.5" hidden="1" customHeight="1">
      <c r="A332" s="1128" t="s">
        <v>51</v>
      </c>
      <c r="B332" s="1128"/>
      <c r="C332" s="1128"/>
      <c r="D332" s="1128"/>
      <c r="E332" s="1128"/>
      <c r="F332" s="1128"/>
      <c r="G332" s="1128"/>
      <c r="H332" s="1128"/>
      <c r="I332" s="1128"/>
      <c r="J332" s="1128"/>
      <c r="K332" s="1128"/>
    </row>
    <row r="333" spans="1:11" ht="30.75" hidden="1" customHeight="1">
      <c r="A333" s="1128" t="s">
        <v>52</v>
      </c>
      <c r="B333" s="1128"/>
      <c r="C333" s="1128"/>
      <c r="D333" s="1128"/>
      <c r="E333" s="1128"/>
      <c r="F333" s="1128"/>
      <c r="G333" s="1128"/>
      <c r="H333" s="1128"/>
      <c r="I333" s="1128"/>
      <c r="J333" s="1128"/>
      <c r="K333" s="1128"/>
    </row>
    <row r="334" spans="1:11" ht="33" hidden="1" customHeight="1">
      <c r="A334" s="1132" t="s">
        <v>50</v>
      </c>
      <c r="B334" s="1132"/>
      <c r="C334" s="1132"/>
      <c r="D334" s="1132"/>
      <c r="E334" s="1132"/>
      <c r="F334" s="1132"/>
      <c r="G334" s="1132"/>
      <c r="H334" s="1132"/>
      <c r="I334" s="1132"/>
      <c r="J334" s="1132"/>
      <c r="K334" s="1132"/>
    </row>
    <row r="335" spans="1:11" ht="33" hidden="1" customHeight="1">
      <c r="A335" s="154"/>
      <c r="B335" s="154"/>
      <c r="C335" s="154"/>
      <c r="D335" s="154"/>
      <c r="E335" s="154"/>
      <c r="F335" s="154"/>
      <c r="G335" s="707"/>
      <c r="H335" s="707"/>
      <c r="I335" s="707"/>
      <c r="J335" s="707"/>
      <c r="K335" s="707"/>
    </row>
    <row r="336" spans="1:11" ht="35.25" hidden="1">
      <c r="A336" s="1128" t="s">
        <v>1489</v>
      </c>
      <c r="B336" s="1128"/>
      <c r="C336" s="1128"/>
      <c r="D336" s="1128"/>
      <c r="E336" s="1128"/>
      <c r="F336" s="1128"/>
      <c r="G336" s="1128"/>
      <c r="H336" s="1128"/>
      <c r="I336" s="1128"/>
      <c r="J336" s="1128"/>
      <c r="K336" s="1128"/>
    </row>
    <row r="337" spans="1:11" s="620" customFormat="1" ht="33" hidden="1">
      <c r="A337" s="65"/>
      <c r="B337" s="65"/>
      <c r="C337" s="65"/>
      <c r="D337" s="65"/>
      <c r="E337" s="65"/>
      <c r="F337" s="65"/>
      <c r="G337" s="68"/>
      <c r="H337" s="68"/>
      <c r="I337" s="68"/>
      <c r="J337" s="68"/>
      <c r="K337" s="68"/>
    </row>
    <row r="338" spans="1:11" ht="20.100000000000001" hidden="1" customHeight="1">
      <c r="A338" s="65"/>
      <c r="B338" s="65"/>
      <c r="C338" s="65"/>
      <c r="D338" s="65"/>
      <c r="E338" s="65"/>
      <c r="F338" s="65"/>
      <c r="G338" s="68"/>
      <c r="H338" s="68"/>
      <c r="I338" s="68"/>
      <c r="J338" s="68"/>
      <c r="K338" s="68"/>
    </row>
    <row r="339" spans="1:11" ht="20.100000000000001" hidden="1" customHeight="1">
      <c r="A339" s="979"/>
      <c r="B339" s="979"/>
      <c r="C339" s="979"/>
      <c r="D339" s="979"/>
      <c r="E339" s="979"/>
      <c r="F339" s="979"/>
      <c r="G339" s="979"/>
      <c r="H339" s="979"/>
      <c r="I339" s="979"/>
      <c r="J339" s="979"/>
      <c r="K339" s="979"/>
    </row>
    <row r="340" spans="1:11" ht="45.75" hidden="1" customHeight="1">
      <c r="A340" s="1030" t="s">
        <v>1381</v>
      </c>
      <c r="B340" s="1030"/>
      <c r="C340" s="1030"/>
      <c r="D340" s="1030"/>
      <c r="E340" s="1030"/>
      <c r="F340" s="1030"/>
      <c r="G340" s="1030"/>
      <c r="H340" s="1030"/>
      <c r="I340" s="1030"/>
      <c r="J340" s="1030"/>
      <c r="K340" s="1030"/>
    </row>
    <row r="341" spans="1:11" ht="66" hidden="1" customHeight="1">
      <c r="A341" s="1031" t="s">
        <v>37</v>
      </c>
      <c r="B341" s="1033"/>
      <c r="C341" s="1037" t="s">
        <v>178</v>
      </c>
      <c r="D341" s="1037" t="s">
        <v>179</v>
      </c>
      <c r="E341" s="1037" t="s">
        <v>1521</v>
      </c>
      <c r="F341" s="1037" t="s">
        <v>14</v>
      </c>
      <c r="G341" s="1037" t="s">
        <v>1515</v>
      </c>
      <c r="H341" s="1037" t="s">
        <v>16</v>
      </c>
      <c r="I341" s="1039" t="s">
        <v>1490</v>
      </c>
      <c r="J341" s="1039" t="s">
        <v>2203</v>
      </c>
      <c r="K341" s="1037" t="s">
        <v>200</v>
      </c>
    </row>
    <row r="342" spans="1:11" s="500" customFormat="1" ht="30" hidden="1">
      <c r="A342" s="1034"/>
      <c r="B342" s="1036"/>
      <c r="C342" s="1038"/>
      <c r="D342" s="1038"/>
      <c r="E342" s="1038"/>
      <c r="F342" s="1038"/>
      <c r="G342" s="1038"/>
      <c r="H342" s="1038"/>
      <c r="I342" s="1039"/>
      <c r="J342" s="1039"/>
      <c r="K342" s="1038"/>
    </row>
    <row r="343" spans="1:11" s="500" customFormat="1" ht="74.25" hidden="1" customHeight="1">
      <c r="A343" s="1102" t="s">
        <v>1542</v>
      </c>
      <c r="B343" s="1103"/>
      <c r="C343" s="729"/>
      <c r="D343" s="729"/>
      <c r="E343" s="726"/>
      <c r="F343" s="727"/>
      <c r="G343" s="728"/>
      <c r="H343" s="728"/>
      <c r="I343" s="642">
        <f>I344+I348</f>
        <v>284048.40000000002</v>
      </c>
      <c r="J343" s="642">
        <f>J344+J348</f>
        <v>189365.59999999998</v>
      </c>
      <c r="K343" s="642">
        <f>I343+J343</f>
        <v>473414</v>
      </c>
    </row>
    <row r="344" spans="1:11" ht="75" hidden="1" customHeight="1">
      <c r="A344" s="1011" t="s">
        <v>1541</v>
      </c>
      <c r="B344" s="1013"/>
      <c r="C344" s="709"/>
      <c r="D344" s="709"/>
      <c r="E344" s="709"/>
      <c r="F344" s="708"/>
      <c r="G344" s="709"/>
      <c r="H344" s="710"/>
      <c r="I344" s="545">
        <f>SUM(I345:I347)</f>
        <v>272048.40000000002</v>
      </c>
      <c r="J344" s="545">
        <f>SUM(J345:J347)</f>
        <v>181365.59999999998</v>
      </c>
      <c r="K344" s="545">
        <f>I344+J344</f>
        <v>453414</v>
      </c>
    </row>
    <row r="345" spans="1:11" s="510" customFormat="1" ht="74.25" hidden="1" customHeight="1">
      <c r="A345" s="1020" t="s">
        <v>1569</v>
      </c>
      <c r="B345" s="1022"/>
      <c r="C345" s="714" t="s">
        <v>1544</v>
      </c>
      <c r="D345" s="714"/>
      <c r="E345" s="714" t="s">
        <v>1544</v>
      </c>
      <c r="F345" s="829" t="s">
        <v>2229</v>
      </c>
      <c r="G345" s="1047">
        <v>8100</v>
      </c>
      <c r="H345" s="1099" t="s">
        <v>2273</v>
      </c>
      <c r="I345" s="717">
        <f>K345/100*60</f>
        <v>54000</v>
      </c>
      <c r="J345" s="717">
        <f>K345/100*40</f>
        <v>36000</v>
      </c>
      <c r="K345" s="717">
        <v>90000</v>
      </c>
    </row>
    <row r="346" spans="1:11" s="510" customFormat="1" ht="75" hidden="1" customHeight="1">
      <c r="A346" s="1020" t="s">
        <v>1546</v>
      </c>
      <c r="B346" s="1022"/>
      <c r="C346" s="714" t="s">
        <v>1544</v>
      </c>
      <c r="D346" s="714"/>
      <c r="E346" s="714" t="s">
        <v>1544</v>
      </c>
      <c r="F346" s="829" t="s">
        <v>2230</v>
      </c>
      <c r="G346" s="1048"/>
      <c r="H346" s="1100"/>
      <c r="I346" s="717">
        <f>K346/100*60</f>
        <v>75600</v>
      </c>
      <c r="J346" s="717">
        <f>K346/100*40</f>
        <v>50400</v>
      </c>
      <c r="K346" s="717">
        <v>126000</v>
      </c>
    </row>
    <row r="347" spans="1:11" s="510" customFormat="1" ht="75" hidden="1" customHeight="1">
      <c r="A347" s="1020" t="s">
        <v>1570</v>
      </c>
      <c r="B347" s="1022"/>
      <c r="C347" s="714" t="s">
        <v>1544</v>
      </c>
      <c r="D347" s="714"/>
      <c r="E347" s="714" t="s">
        <v>1544</v>
      </c>
      <c r="F347" s="829" t="s">
        <v>2231</v>
      </c>
      <c r="G347" s="1048"/>
      <c r="H347" s="1100"/>
      <c r="I347" s="717">
        <f>K347/100*60</f>
        <v>142448.4</v>
      </c>
      <c r="J347" s="717">
        <f>K347/100*40</f>
        <v>94965.599999999991</v>
      </c>
      <c r="K347" s="717">
        <v>237414</v>
      </c>
    </row>
    <row r="348" spans="1:11" ht="73.5" hidden="1" customHeight="1">
      <c r="A348" s="1011" t="s">
        <v>312</v>
      </c>
      <c r="B348" s="1013"/>
      <c r="C348" s="709"/>
      <c r="D348" s="709"/>
      <c r="E348" s="709"/>
      <c r="F348" s="708"/>
      <c r="G348" s="709"/>
      <c r="H348" s="710"/>
      <c r="I348" s="545">
        <f>I349</f>
        <v>12000</v>
      </c>
      <c r="J348" s="545">
        <f>J349</f>
        <v>8000</v>
      </c>
      <c r="K348" s="545">
        <f>I348+J348</f>
        <v>20000</v>
      </c>
    </row>
    <row r="349" spans="1:11" s="510" customFormat="1" ht="74.25" hidden="1" customHeight="1">
      <c r="A349" s="1020" t="s">
        <v>1543</v>
      </c>
      <c r="B349" s="1022"/>
      <c r="C349" s="714" t="s">
        <v>1544</v>
      </c>
      <c r="D349" s="714"/>
      <c r="E349" s="714" t="s">
        <v>1544</v>
      </c>
      <c r="F349" s="833" t="s">
        <v>2224</v>
      </c>
      <c r="G349" s="835">
        <v>8100</v>
      </c>
      <c r="H349" s="834" t="s">
        <v>2273</v>
      </c>
      <c r="I349" s="717">
        <f>K349/100*60</f>
        <v>12000</v>
      </c>
      <c r="J349" s="717">
        <f>K349/100*40</f>
        <v>8000</v>
      </c>
      <c r="K349" s="717">
        <v>20000</v>
      </c>
    </row>
    <row r="350" spans="1:11" s="743" customFormat="1" ht="36.75" hidden="1" customHeight="1">
      <c r="A350" s="1135"/>
      <c r="B350" s="1136"/>
      <c r="C350" s="738"/>
      <c r="D350" s="738"/>
      <c r="E350" s="739"/>
      <c r="F350" s="740"/>
      <c r="G350" s="741"/>
      <c r="H350" s="741"/>
      <c r="I350" s="742"/>
      <c r="J350" s="742"/>
      <c r="K350" s="742"/>
    </row>
    <row r="351" spans="1:11" ht="66" hidden="1" customHeight="1">
      <c r="A351" s="1031" t="s">
        <v>37</v>
      </c>
      <c r="B351" s="1033"/>
      <c r="C351" s="1037" t="s">
        <v>178</v>
      </c>
      <c r="D351" s="1037" t="s">
        <v>179</v>
      </c>
      <c r="E351" s="1037" t="s">
        <v>1521</v>
      </c>
      <c r="F351" s="1037" t="s">
        <v>14</v>
      </c>
      <c r="G351" s="1037" t="s">
        <v>1515</v>
      </c>
      <c r="H351" s="1037" t="s">
        <v>16</v>
      </c>
      <c r="I351" s="1039" t="s">
        <v>1490</v>
      </c>
      <c r="J351" s="1039" t="s">
        <v>2203</v>
      </c>
      <c r="K351" s="1037" t="s">
        <v>200</v>
      </c>
    </row>
    <row r="352" spans="1:11" s="500" customFormat="1" ht="30" hidden="1">
      <c r="A352" s="1034"/>
      <c r="B352" s="1036"/>
      <c r="C352" s="1038"/>
      <c r="D352" s="1038"/>
      <c r="E352" s="1038"/>
      <c r="F352" s="1038"/>
      <c r="G352" s="1038"/>
      <c r="H352" s="1038"/>
      <c r="I352" s="1039"/>
      <c r="J352" s="1039"/>
      <c r="K352" s="1038"/>
    </row>
    <row r="353" spans="1:11" s="500" customFormat="1" ht="74.25" hidden="1" customHeight="1">
      <c r="A353" s="1102" t="s">
        <v>1633</v>
      </c>
      <c r="B353" s="1103"/>
      <c r="C353" s="729"/>
      <c r="D353" s="729"/>
      <c r="E353" s="726"/>
      <c r="F353" s="727"/>
      <c r="G353" s="728"/>
      <c r="H353" s="728"/>
      <c r="I353" s="642">
        <f>I354+I356+I367+I369</f>
        <v>229105.19999999998</v>
      </c>
      <c r="J353" s="642">
        <f>J354+J356+J367+J369</f>
        <v>152736.79999999999</v>
      </c>
      <c r="K353" s="642">
        <f>I353+J353</f>
        <v>381842</v>
      </c>
    </row>
    <row r="354" spans="1:11" s="579" customFormat="1" ht="73.5" hidden="1" customHeight="1">
      <c r="A354" s="1011" t="s">
        <v>2251</v>
      </c>
      <c r="B354" s="1012"/>
      <c r="C354" s="1012"/>
      <c r="D354" s="1012"/>
      <c r="E354" s="1012"/>
      <c r="F354" s="1013"/>
      <c r="G354" s="709"/>
      <c r="H354" s="710"/>
      <c r="I354" s="545">
        <f>I355</f>
        <v>23547</v>
      </c>
      <c r="J354" s="545">
        <f>J355</f>
        <v>15698</v>
      </c>
      <c r="K354" s="545">
        <f>I354+J354</f>
        <v>39245</v>
      </c>
    </row>
    <row r="355" spans="1:11" s="510" customFormat="1" ht="74.25" hidden="1" customHeight="1">
      <c r="A355" s="1020" t="s">
        <v>1634</v>
      </c>
      <c r="B355" s="1022"/>
      <c r="C355" s="714" t="s">
        <v>147</v>
      </c>
      <c r="D355" s="714">
        <v>324</v>
      </c>
      <c r="E355" s="725" t="s">
        <v>1573</v>
      </c>
      <c r="F355" s="833" t="s">
        <v>2254</v>
      </c>
      <c r="G355" s="835">
        <v>8100</v>
      </c>
      <c r="H355" s="834" t="s">
        <v>2273</v>
      </c>
      <c r="I355" s="717">
        <f>K355/100*60</f>
        <v>23547</v>
      </c>
      <c r="J355" s="717">
        <f>K355/100*40</f>
        <v>15698</v>
      </c>
      <c r="K355" s="717">
        <v>39245</v>
      </c>
    </row>
    <row r="356" spans="1:11" ht="75" hidden="1" customHeight="1">
      <c r="A356" s="1011" t="s">
        <v>1541</v>
      </c>
      <c r="B356" s="1013"/>
      <c r="C356" s="709"/>
      <c r="D356" s="709"/>
      <c r="E356" s="709"/>
      <c r="F356" s="708"/>
      <c r="G356" s="709"/>
      <c r="H356" s="710"/>
      <c r="I356" s="545">
        <f>SUM(I357:I366)</f>
        <v>196858.19999999998</v>
      </c>
      <c r="J356" s="545">
        <f>SUM(J357:J366)</f>
        <v>131238.79999999999</v>
      </c>
      <c r="K356" s="545">
        <f>I356+J356</f>
        <v>328097</v>
      </c>
    </row>
    <row r="357" spans="1:11" s="510" customFormat="1" ht="74.25" hidden="1" customHeight="1">
      <c r="A357" s="1020" t="s">
        <v>1635</v>
      </c>
      <c r="B357" s="1022"/>
      <c r="C357" s="714" t="s">
        <v>1644</v>
      </c>
      <c r="D357" s="714">
        <v>10</v>
      </c>
      <c r="E357" s="725" t="s">
        <v>1645</v>
      </c>
      <c r="F357" s="833" t="s">
        <v>2236</v>
      </c>
      <c r="G357" s="1047">
        <v>8100</v>
      </c>
      <c r="H357" s="1099" t="s">
        <v>2273</v>
      </c>
      <c r="I357" s="717">
        <f t="shared" ref="I357:I366" si="11">K357/100*60</f>
        <v>35712</v>
      </c>
      <c r="J357" s="717">
        <f t="shared" ref="J357:J366" si="12">K357/100*40</f>
        <v>23808</v>
      </c>
      <c r="K357" s="717">
        <v>59520</v>
      </c>
    </row>
    <row r="358" spans="1:11" s="510" customFormat="1" ht="75" hidden="1" customHeight="1">
      <c r="A358" s="1020" t="s">
        <v>1636</v>
      </c>
      <c r="B358" s="1022"/>
      <c r="C358" s="714" t="s">
        <v>1657</v>
      </c>
      <c r="D358" s="714">
        <v>7</v>
      </c>
      <c r="E358" s="725" t="s">
        <v>1646</v>
      </c>
      <c r="F358" s="833" t="s">
        <v>2229</v>
      </c>
      <c r="G358" s="1048"/>
      <c r="H358" s="1100"/>
      <c r="I358" s="717">
        <f t="shared" si="11"/>
        <v>31320</v>
      </c>
      <c r="J358" s="717">
        <f t="shared" si="12"/>
        <v>20880</v>
      </c>
      <c r="K358" s="717">
        <v>52200</v>
      </c>
    </row>
    <row r="359" spans="1:11" s="510" customFormat="1" ht="75" hidden="1" customHeight="1">
      <c r="A359" s="1020" t="s">
        <v>1606</v>
      </c>
      <c r="B359" s="1022"/>
      <c r="C359" s="714" t="s">
        <v>1657</v>
      </c>
      <c r="D359" s="744">
        <v>16</v>
      </c>
      <c r="E359" s="725" t="s">
        <v>1647</v>
      </c>
      <c r="F359" s="1044" t="s">
        <v>2230</v>
      </c>
      <c r="G359" s="1048"/>
      <c r="H359" s="1100"/>
      <c r="I359" s="717">
        <f t="shared" si="11"/>
        <v>9720</v>
      </c>
      <c r="J359" s="717">
        <f t="shared" si="12"/>
        <v>6480</v>
      </c>
      <c r="K359" s="717">
        <v>16200</v>
      </c>
    </row>
    <row r="360" spans="1:11" s="510" customFormat="1" ht="75" hidden="1" customHeight="1">
      <c r="A360" s="1020" t="s">
        <v>1637</v>
      </c>
      <c r="B360" s="1022"/>
      <c r="C360" s="714" t="s">
        <v>1657</v>
      </c>
      <c r="D360" s="714">
        <v>16</v>
      </c>
      <c r="E360" s="725" t="s">
        <v>1648</v>
      </c>
      <c r="F360" s="1045"/>
      <c r="G360" s="1048"/>
      <c r="H360" s="1100"/>
      <c r="I360" s="717">
        <f t="shared" si="11"/>
        <v>4602.8100000000004</v>
      </c>
      <c r="J360" s="717">
        <f t="shared" si="12"/>
        <v>3068.5400000000004</v>
      </c>
      <c r="K360" s="717">
        <v>7671.35</v>
      </c>
    </row>
    <row r="361" spans="1:11" s="510" customFormat="1" ht="75" hidden="1" customHeight="1">
      <c r="A361" s="1020" t="s">
        <v>1638</v>
      </c>
      <c r="B361" s="1022"/>
      <c r="C361" s="714" t="s">
        <v>1649</v>
      </c>
      <c r="D361" s="714">
        <v>3</v>
      </c>
      <c r="E361" s="725" t="s">
        <v>1650</v>
      </c>
      <c r="F361" s="1045"/>
      <c r="G361" s="1048"/>
      <c r="H361" s="1100"/>
      <c r="I361" s="717">
        <f t="shared" si="11"/>
        <v>4320</v>
      </c>
      <c r="J361" s="717">
        <f t="shared" si="12"/>
        <v>2880</v>
      </c>
      <c r="K361" s="717">
        <v>7200</v>
      </c>
    </row>
    <row r="362" spans="1:11" s="510" customFormat="1" ht="75" hidden="1" customHeight="1">
      <c r="A362" s="1020" t="s">
        <v>1639</v>
      </c>
      <c r="B362" s="1022"/>
      <c r="C362" s="714" t="s">
        <v>1651</v>
      </c>
      <c r="D362" s="714">
        <v>8</v>
      </c>
      <c r="E362" s="725" t="s">
        <v>1652</v>
      </c>
      <c r="F362" s="1046"/>
      <c r="G362" s="1048"/>
      <c r="H362" s="1100"/>
      <c r="I362" s="717">
        <f t="shared" si="11"/>
        <v>1890</v>
      </c>
      <c r="J362" s="717">
        <f t="shared" si="12"/>
        <v>1260</v>
      </c>
      <c r="K362" s="717">
        <v>3150</v>
      </c>
    </row>
    <row r="363" spans="1:11" s="510" customFormat="1" ht="75" hidden="1" customHeight="1">
      <c r="A363" s="1020" t="s">
        <v>1640</v>
      </c>
      <c r="B363" s="1022"/>
      <c r="C363" s="714" t="s">
        <v>1658</v>
      </c>
      <c r="D363" s="714">
        <v>80</v>
      </c>
      <c r="E363" s="725" t="s">
        <v>1653</v>
      </c>
      <c r="F363" s="1044" t="s">
        <v>2231</v>
      </c>
      <c r="G363" s="1048"/>
      <c r="H363" s="1100"/>
      <c r="I363" s="717">
        <f t="shared" si="11"/>
        <v>44493.389999999992</v>
      </c>
      <c r="J363" s="717">
        <f t="shared" si="12"/>
        <v>29662.259999999995</v>
      </c>
      <c r="K363" s="717">
        <v>74155.649999999994</v>
      </c>
    </row>
    <row r="364" spans="1:11" s="510" customFormat="1" ht="75" hidden="1" customHeight="1">
      <c r="A364" s="1020" t="s">
        <v>1641</v>
      </c>
      <c r="B364" s="1022"/>
      <c r="C364" s="714" t="s">
        <v>1658</v>
      </c>
      <c r="D364" s="714">
        <v>40</v>
      </c>
      <c r="E364" s="725" t="s">
        <v>1654</v>
      </c>
      <c r="F364" s="1045"/>
      <c r="G364" s="1048"/>
      <c r="H364" s="1100"/>
      <c r="I364" s="717">
        <f t="shared" si="11"/>
        <v>27000</v>
      </c>
      <c r="J364" s="717">
        <f t="shared" si="12"/>
        <v>18000</v>
      </c>
      <c r="K364" s="717">
        <v>45000</v>
      </c>
    </row>
    <row r="365" spans="1:11" s="510" customFormat="1" ht="75" hidden="1" customHeight="1">
      <c r="A365" s="1020" t="s">
        <v>1642</v>
      </c>
      <c r="B365" s="1022"/>
      <c r="C365" s="714" t="s">
        <v>1658</v>
      </c>
      <c r="D365" s="714">
        <v>15</v>
      </c>
      <c r="E365" s="725" t="s">
        <v>1655</v>
      </c>
      <c r="F365" s="1045"/>
      <c r="G365" s="1048"/>
      <c r="H365" s="1100"/>
      <c r="I365" s="717">
        <f t="shared" si="11"/>
        <v>16200</v>
      </c>
      <c r="J365" s="717">
        <f t="shared" si="12"/>
        <v>10800</v>
      </c>
      <c r="K365" s="717">
        <v>27000</v>
      </c>
    </row>
    <row r="366" spans="1:11" s="510" customFormat="1" ht="75" hidden="1" customHeight="1">
      <c r="A366" s="1020" t="s">
        <v>1643</v>
      </c>
      <c r="B366" s="1022"/>
      <c r="C366" s="714" t="s">
        <v>1659</v>
      </c>
      <c r="D366" s="744">
        <v>85</v>
      </c>
      <c r="E366" s="725" t="s">
        <v>1656</v>
      </c>
      <c r="F366" s="1046"/>
      <c r="G366" s="1049"/>
      <c r="H366" s="1101"/>
      <c r="I366" s="717">
        <f t="shared" si="11"/>
        <v>21600</v>
      </c>
      <c r="J366" s="717">
        <f t="shared" si="12"/>
        <v>14400</v>
      </c>
      <c r="K366" s="717">
        <v>36000</v>
      </c>
    </row>
    <row r="367" spans="1:11" ht="74.25" hidden="1" customHeight="1">
      <c r="A367" s="1011" t="s">
        <v>278</v>
      </c>
      <c r="B367" s="1013"/>
      <c r="C367" s="504"/>
      <c r="D367" s="709"/>
      <c r="E367" s="709"/>
      <c r="F367" s="708"/>
      <c r="G367" s="709"/>
      <c r="H367" s="710"/>
      <c r="I367" s="545">
        <f>SUM(I368)</f>
        <v>2700</v>
      </c>
      <c r="J367" s="545">
        <f>SUM(J368)</f>
        <v>1800</v>
      </c>
      <c r="K367" s="545">
        <f>I367+J367</f>
        <v>4500</v>
      </c>
    </row>
    <row r="368" spans="1:11" s="510" customFormat="1" ht="74.25" hidden="1" customHeight="1">
      <c r="A368" s="1020" t="s">
        <v>1661</v>
      </c>
      <c r="B368" s="1022"/>
      <c r="C368" s="714" t="s">
        <v>1215</v>
      </c>
      <c r="D368" s="714">
        <v>50</v>
      </c>
      <c r="E368" s="725" t="s">
        <v>1660</v>
      </c>
      <c r="F368" s="833" t="s">
        <v>2234</v>
      </c>
      <c r="G368" s="835">
        <v>8100</v>
      </c>
      <c r="H368" s="834" t="s">
        <v>2445</v>
      </c>
      <c r="I368" s="717">
        <f>K368/100*60</f>
        <v>2700</v>
      </c>
      <c r="J368" s="717">
        <f>K368/100*40</f>
        <v>1800</v>
      </c>
      <c r="K368" s="717">
        <v>4500</v>
      </c>
    </row>
    <row r="369" spans="1:11" ht="73.5" hidden="1" customHeight="1">
      <c r="A369" s="1011" t="s">
        <v>312</v>
      </c>
      <c r="B369" s="1013"/>
      <c r="C369" s="709"/>
      <c r="D369" s="709"/>
      <c r="E369" s="709"/>
      <c r="F369" s="708"/>
      <c r="G369" s="709"/>
      <c r="H369" s="710"/>
      <c r="I369" s="545">
        <f>SUM(I370:I370)</f>
        <v>6000</v>
      </c>
      <c r="J369" s="545">
        <f>SUM(J370:J370)</f>
        <v>4000</v>
      </c>
      <c r="K369" s="545">
        <f>I369+J369</f>
        <v>10000</v>
      </c>
    </row>
    <row r="370" spans="1:11" s="510" customFormat="1" ht="74.25" hidden="1" customHeight="1">
      <c r="A370" s="1020" t="s">
        <v>1662</v>
      </c>
      <c r="B370" s="1022"/>
      <c r="C370" s="714" t="s">
        <v>1663</v>
      </c>
      <c r="D370" s="714">
        <v>16</v>
      </c>
      <c r="E370" s="725" t="s">
        <v>1664</v>
      </c>
      <c r="F370" s="833" t="s">
        <v>2224</v>
      </c>
      <c r="G370" s="835">
        <v>8100</v>
      </c>
      <c r="H370" s="834" t="s">
        <v>2273</v>
      </c>
      <c r="I370" s="717">
        <f>K370/100*60</f>
        <v>6000</v>
      </c>
      <c r="J370" s="717">
        <f>K370/100*40</f>
        <v>4000</v>
      </c>
      <c r="K370" s="717">
        <v>10000</v>
      </c>
    </row>
    <row r="371" spans="1:11" s="510" customFormat="1" ht="74.25" hidden="1" customHeight="1">
      <c r="A371" s="753"/>
      <c r="B371" s="753"/>
      <c r="C371" s="754"/>
      <c r="D371" s="754"/>
      <c r="E371" s="759"/>
      <c r="F371" s="755"/>
      <c r="G371" s="758"/>
      <c r="H371" s="756"/>
      <c r="I371" s="757"/>
      <c r="J371" s="757"/>
      <c r="K371" s="757"/>
    </row>
    <row r="372" spans="1:11" s="510" customFormat="1" ht="74.25" hidden="1" customHeight="1">
      <c r="A372" s="753"/>
      <c r="B372" s="753"/>
      <c r="C372" s="754"/>
      <c r="D372" s="754"/>
      <c r="E372" s="759"/>
      <c r="F372" s="755"/>
      <c r="G372" s="758"/>
      <c r="H372" s="756"/>
      <c r="I372" s="757"/>
      <c r="J372" s="757"/>
      <c r="K372" s="757"/>
    </row>
    <row r="373" spans="1:11" s="510" customFormat="1" ht="74.25" hidden="1" customHeight="1">
      <c r="A373" s="753"/>
      <c r="B373" s="753"/>
      <c r="C373" s="754"/>
      <c r="D373" s="754"/>
      <c r="E373" s="759"/>
      <c r="F373" s="755"/>
      <c r="G373" s="758"/>
      <c r="H373" s="756"/>
      <c r="I373" s="757"/>
      <c r="J373" s="757"/>
      <c r="K373" s="757"/>
    </row>
    <row r="374" spans="1:11" s="510" customFormat="1" ht="74.25" hidden="1" customHeight="1">
      <c r="A374" s="753"/>
      <c r="B374" s="753"/>
      <c r="C374" s="754"/>
      <c r="D374" s="754"/>
      <c r="E374" s="759"/>
      <c r="F374" s="755"/>
      <c r="G374" s="758"/>
      <c r="H374" s="756"/>
      <c r="I374" s="757"/>
      <c r="J374" s="757"/>
      <c r="K374" s="757"/>
    </row>
    <row r="375" spans="1:11" ht="34.5" hidden="1" customHeight="1">
      <c r="A375" s="1128" t="s">
        <v>51</v>
      </c>
      <c r="B375" s="1128"/>
      <c r="C375" s="1128"/>
      <c r="D375" s="1128"/>
      <c r="E375" s="1128"/>
      <c r="F375" s="1128"/>
      <c r="G375" s="1128"/>
      <c r="H375" s="1128"/>
      <c r="I375" s="1128"/>
      <c r="J375" s="1128"/>
      <c r="K375" s="1128"/>
    </row>
    <row r="376" spans="1:11" ht="30.75" hidden="1" customHeight="1">
      <c r="A376" s="1128" t="s">
        <v>52</v>
      </c>
      <c r="B376" s="1128"/>
      <c r="C376" s="1128"/>
      <c r="D376" s="1128"/>
      <c r="E376" s="1128"/>
      <c r="F376" s="1128"/>
      <c r="G376" s="1128"/>
      <c r="H376" s="1128"/>
      <c r="I376" s="1128"/>
      <c r="J376" s="1128"/>
      <c r="K376" s="1128"/>
    </row>
    <row r="377" spans="1:11" ht="33" hidden="1" customHeight="1">
      <c r="A377" s="1132" t="s">
        <v>50</v>
      </c>
      <c r="B377" s="1132"/>
      <c r="C377" s="1132"/>
      <c r="D377" s="1132"/>
      <c r="E377" s="1132"/>
      <c r="F377" s="1132"/>
      <c r="G377" s="1132"/>
      <c r="H377" s="1132"/>
      <c r="I377" s="1132"/>
      <c r="J377" s="1132"/>
      <c r="K377" s="1132"/>
    </row>
    <row r="378" spans="1:11" ht="33" hidden="1" customHeight="1">
      <c r="A378" s="154"/>
      <c r="B378" s="154"/>
      <c r="C378" s="154"/>
      <c r="D378" s="154"/>
      <c r="E378" s="154"/>
      <c r="F378" s="154"/>
      <c r="G378" s="707"/>
      <c r="H378" s="707"/>
      <c r="I378" s="707"/>
      <c r="J378" s="707"/>
      <c r="K378" s="707"/>
    </row>
    <row r="379" spans="1:11" ht="35.25" hidden="1">
      <c r="A379" s="1128" t="s">
        <v>1489</v>
      </c>
      <c r="B379" s="1128"/>
      <c r="C379" s="1128"/>
      <c r="D379" s="1128"/>
      <c r="E379" s="1128"/>
      <c r="F379" s="1128"/>
      <c r="G379" s="1128"/>
      <c r="H379" s="1128"/>
      <c r="I379" s="1128"/>
      <c r="J379" s="1128"/>
      <c r="K379" s="1128"/>
    </row>
    <row r="380" spans="1:11" s="620" customFormat="1" ht="33" hidden="1">
      <c r="A380" s="65"/>
      <c r="B380" s="65"/>
      <c r="C380" s="65"/>
      <c r="D380" s="65"/>
      <c r="E380" s="65"/>
      <c r="F380" s="65"/>
      <c r="G380" s="68"/>
      <c r="H380" s="68"/>
      <c r="I380" s="68"/>
      <c r="J380" s="68"/>
      <c r="K380" s="68"/>
    </row>
    <row r="381" spans="1:11" ht="20.100000000000001" hidden="1" customHeight="1">
      <c r="A381" s="65"/>
      <c r="B381" s="65"/>
      <c r="C381" s="65"/>
      <c r="D381" s="65"/>
      <c r="E381" s="65"/>
      <c r="F381" s="65"/>
      <c r="G381" s="68"/>
      <c r="H381" s="68"/>
      <c r="I381" s="68"/>
      <c r="J381" s="68"/>
      <c r="K381" s="68"/>
    </row>
    <row r="382" spans="1:11" ht="20.100000000000001" hidden="1" customHeight="1">
      <c r="A382" s="979"/>
      <c r="B382" s="979"/>
      <c r="C382" s="979"/>
      <c r="D382" s="979"/>
      <c r="E382" s="979"/>
      <c r="F382" s="979"/>
      <c r="G382" s="979"/>
      <c r="H382" s="979"/>
      <c r="I382" s="979"/>
      <c r="J382" s="979"/>
      <c r="K382" s="979"/>
    </row>
    <row r="383" spans="1:11" ht="45.75" hidden="1" customHeight="1">
      <c r="A383" s="1030" t="s">
        <v>1381</v>
      </c>
      <c r="B383" s="1030"/>
      <c r="C383" s="1030"/>
      <c r="D383" s="1030"/>
      <c r="E383" s="1030"/>
      <c r="F383" s="1030"/>
      <c r="G383" s="1030"/>
      <c r="H383" s="1030"/>
      <c r="I383" s="1030"/>
      <c r="J383" s="1030"/>
      <c r="K383" s="1030"/>
    </row>
    <row r="384" spans="1:11" ht="66" hidden="1" customHeight="1">
      <c r="A384" s="1039" t="s">
        <v>37</v>
      </c>
      <c r="B384" s="1039"/>
      <c r="C384" s="1039" t="s">
        <v>178</v>
      </c>
      <c r="D384" s="1039" t="s">
        <v>179</v>
      </c>
      <c r="E384" s="1039" t="s">
        <v>1521</v>
      </c>
      <c r="F384" s="1039" t="s">
        <v>14</v>
      </c>
      <c r="G384" s="1039" t="s">
        <v>1515</v>
      </c>
      <c r="H384" s="1039" t="s">
        <v>16</v>
      </c>
      <c r="I384" s="1039" t="s">
        <v>1490</v>
      </c>
      <c r="J384" s="1039" t="s">
        <v>2203</v>
      </c>
      <c r="K384" s="1039" t="s">
        <v>200</v>
      </c>
    </row>
    <row r="385" spans="1:11" s="500" customFormat="1" ht="30" hidden="1">
      <c r="A385" s="1039"/>
      <c r="B385" s="1039"/>
      <c r="C385" s="1039"/>
      <c r="D385" s="1039"/>
      <c r="E385" s="1039"/>
      <c r="F385" s="1039"/>
      <c r="G385" s="1039"/>
      <c r="H385" s="1039"/>
      <c r="I385" s="1039"/>
      <c r="J385" s="1039"/>
      <c r="K385" s="1039"/>
    </row>
    <row r="386" spans="1:11" s="500" customFormat="1" ht="74.25" hidden="1" customHeight="1">
      <c r="A386" s="1102" t="s">
        <v>1563</v>
      </c>
      <c r="B386" s="1103"/>
      <c r="C386" s="729"/>
      <c r="D386" s="729"/>
      <c r="E386" s="726"/>
      <c r="F386" s="727"/>
      <c r="G386" s="728"/>
      <c r="H386" s="728"/>
      <c r="I386" s="642">
        <f>I387+I393+I395</f>
        <v>99103.8</v>
      </c>
      <c r="J386" s="642">
        <f>J387+J393+J395</f>
        <v>66069.2</v>
      </c>
      <c r="K386" s="642">
        <f>I386+J386</f>
        <v>165173</v>
      </c>
    </row>
    <row r="387" spans="1:11" ht="75" hidden="1" customHeight="1">
      <c r="A387" s="1011" t="s">
        <v>1541</v>
      </c>
      <c r="B387" s="1013"/>
      <c r="C387" s="709"/>
      <c r="D387" s="709"/>
      <c r="E387" s="709"/>
      <c r="F387" s="708"/>
      <c r="G387" s="709"/>
      <c r="H387" s="710"/>
      <c r="I387" s="545">
        <f>SUM(I388:I392)</f>
        <v>85878</v>
      </c>
      <c r="J387" s="545">
        <f>SUM(J388:J392)</f>
        <v>57252</v>
      </c>
      <c r="K387" s="545">
        <f>I387+J387</f>
        <v>143130</v>
      </c>
    </row>
    <row r="388" spans="1:11" s="510" customFormat="1" ht="74.25" hidden="1" customHeight="1">
      <c r="A388" s="1020" t="s">
        <v>1545</v>
      </c>
      <c r="B388" s="1022"/>
      <c r="C388" s="714" t="s">
        <v>1550</v>
      </c>
      <c r="D388" s="714">
        <v>6</v>
      </c>
      <c r="E388" s="725" t="s">
        <v>1558</v>
      </c>
      <c r="F388" s="829" t="s">
        <v>2229</v>
      </c>
      <c r="G388" s="1047">
        <v>8100</v>
      </c>
      <c r="H388" s="1099" t="s">
        <v>2273</v>
      </c>
      <c r="I388" s="717">
        <f>K388/100*60</f>
        <v>13800</v>
      </c>
      <c r="J388" s="717">
        <f>K388/100*40</f>
        <v>9200</v>
      </c>
      <c r="K388" s="717">
        <v>23000</v>
      </c>
    </row>
    <row r="389" spans="1:11" s="510" customFormat="1" ht="75" hidden="1" customHeight="1">
      <c r="A389" s="1020" t="s">
        <v>1546</v>
      </c>
      <c r="B389" s="1022"/>
      <c r="C389" s="714" t="s">
        <v>1551</v>
      </c>
      <c r="D389" s="714">
        <v>3</v>
      </c>
      <c r="E389" s="725" t="s">
        <v>1559</v>
      </c>
      <c r="F389" s="829" t="s">
        <v>2230</v>
      </c>
      <c r="G389" s="1048"/>
      <c r="H389" s="1100"/>
      <c r="I389" s="717">
        <f>K389/100*60</f>
        <v>27000</v>
      </c>
      <c r="J389" s="717">
        <f>K389/100*40</f>
        <v>18000</v>
      </c>
      <c r="K389" s="717">
        <v>45000</v>
      </c>
    </row>
    <row r="390" spans="1:11" s="510" customFormat="1" ht="75" hidden="1" customHeight="1">
      <c r="A390" s="1020" t="s">
        <v>1547</v>
      </c>
      <c r="B390" s="1022"/>
      <c r="C390" s="714" t="s">
        <v>1552</v>
      </c>
      <c r="D390" s="714">
        <v>70</v>
      </c>
      <c r="E390" s="725" t="s">
        <v>1559</v>
      </c>
      <c r="F390" s="1044" t="s">
        <v>2231</v>
      </c>
      <c r="G390" s="1048"/>
      <c r="H390" s="1100"/>
      <c r="I390" s="717">
        <f>K390/100*60</f>
        <v>4200</v>
      </c>
      <c r="J390" s="717">
        <f>K390/100*40</f>
        <v>2800</v>
      </c>
      <c r="K390" s="717">
        <v>7000</v>
      </c>
    </row>
    <row r="391" spans="1:11" s="510" customFormat="1" ht="75" hidden="1" customHeight="1">
      <c r="A391" s="1020" t="s">
        <v>1548</v>
      </c>
      <c r="B391" s="1022"/>
      <c r="C391" s="714" t="s">
        <v>1553</v>
      </c>
      <c r="D391" s="714">
        <v>20</v>
      </c>
      <c r="E391" s="725" t="s">
        <v>1560</v>
      </c>
      <c r="F391" s="1045"/>
      <c r="G391" s="1048"/>
      <c r="H391" s="1100"/>
      <c r="I391" s="717">
        <f>K391/100*60</f>
        <v>6900</v>
      </c>
      <c r="J391" s="717">
        <f>K391/100*40</f>
        <v>4600</v>
      </c>
      <c r="K391" s="717">
        <v>11500</v>
      </c>
    </row>
    <row r="392" spans="1:11" s="510" customFormat="1" ht="75" hidden="1" customHeight="1">
      <c r="A392" s="1020" t="s">
        <v>1549</v>
      </c>
      <c r="B392" s="1022"/>
      <c r="C392" s="714" t="s">
        <v>1523</v>
      </c>
      <c r="D392" s="714">
        <v>4</v>
      </c>
      <c r="E392" s="725" t="s">
        <v>1561</v>
      </c>
      <c r="F392" s="1046"/>
      <c r="G392" s="1049"/>
      <c r="H392" s="1101"/>
      <c r="I392" s="717">
        <f>K392/100*60</f>
        <v>33978</v>
      </c>
      <c r="J392" s="717">
        <f>K392/100*40</f>
        <v>22652</v>
      </c>
      <c r="K392" s="717">
        <v>56630</v>
      </c>
    </row>
    <row r="393" spans="1:11" ht="74.25" hidden="1" customHeight="1">
      <c r="A393" s="1011" t="s">
        <v>278</v>
      </c>
      <c r="B393" s="1013"/>
      <c r="C393" s="504"/>
      <c r="D393" s="709"/>
      <c r="E393" s="709"/>
      <c r="F393" s="708"/>
      <c r="G393" s="709"/>
      <c r="H393" s="710"/>
      <c r="I393" s="545">
        <f>SUM(I394)</f>
        <v>8100</v>
      </c>
      <c r="J393" s="545">
        <f>SUM(J394)</f>
        <v>5400</v>
      </c>
      <c r="K393" s="545">
        <f>I393+J393</f>
        <v>13500</v>
      </c>
    </row>
    <row r="394" spans="1:11" s="510" customFormat="1" ht="74.25" hidden="1" customHeight="1">
      <c r="A394" s="1020" t="s">
        <v>1554</v>
      </c>
      <c r="B394" s="1022"/>
      <c r="C394" s="714" t="s">
        <v>18</v>
      </c>
      <c r="D394" s="714">
        <v>10</v>
      </c>
      <c r="E394" s="725" t="s">
        <v>1526</v>
      </c>
      <c r="F394" s="833" t="s">
        <v>2234</v>
      </c>
      <c r="G394" s="835">
        <v>8100</v>
      </c>
      <c r="H394" s="834" t="s">
        <v>2445</v>
      </c>
      <c r="I394" s="717">
        <f>K394/100*60</f>
        <v>8100</v>
      </c>
      <c r="J394" s="717">
        <f>K394/100*40</f>
        <v>5400</v>
      </c>
      <c r="K394" s="717">
        <v>13500</v>
      </c>
    </row>
    <row r="395" spans="1:11" ht="73.5" hidden="1" customHeight="1">
      <c r="A395" s="1011" t="s">
        <v>312</v>
      </c>
      <c r="B395" s="1013"/>
      <c r="C395" s="709"/>
      <c r="D395" s="709"/>
      <c r="E395" s="709"/>
      <c r="F395" s="708"/>
      <c r="G395" s="709"/>
      <c r="H395" s="710"/>
      <c r="I395" s="545">
        <f>SUM(I396:I397)</f>
        <v>5125.8</v>
      </c>
      <c r="J395" s="545">
        <f>SUM(J396:J397)</f>
        <v>3417.2000000000003</v>
      </c>
      <c r="K395" s="545">
        <f>SUM(K396:K397)</f>
        <v>8543</v>
      </c>
    </row>
    <row r="396" spans="1:11" s="510" customFormat="1" ht="74.25" hidden="1" customHeight="1">
      <c r="A396" s="1020" t="s">
        <v>1555</v>
      </c>
      <c r="B396" s="1022"/>
      <c r="C396" s="714" t="s">
        <v>1551</v>
      </c>
      <c r="D396" s="714">
        <v>3</v>
      </c>
      <c r="E396" s="725" t="s">
        <v>1560</v>
      </c>
      <c r="F396" s="1044" t="s">
        <v>2224</v>
      </c>
      <c r="G396" s="1047">
        <v>8100</v>
      </c>
      <c r="H396" s="1099" t="s">
        <v>2273</v>
      </c>
      <c r="I396" s="717">
        <f>K396/100*60</f>
        <v>1200</v>
      </c>
      <c r="J396" s="717">
        <f>K396/100*40</f>
        <v>800</v>
      </c>
      <c r="K396" s="717">
        <v>2000</v>
      </c>
    </row>
    <row r="397" spans="1:11" s="510" customFormat="1" ht="74.25" hidden="1" customHeight="1">
      <c r="A397" s="1020" t="s">
        <v>1556</v>
      </c>
      <c r="B397" s="1022"/>
      <c r="C397" s="714" t="s">
        <v>1557</v>
      </c>
      <c r="D397" s="714">
        <v>11</v>
      </c>
      <c r="E397" s="725" t="s">
        <v>1562</v>
      </c>
      <c r="F397" s="1046"/>
      <c r="G397" s="1049"/>
      <c r="H397" s="1101"/>
      <c r="I397" s="717">
        <f>K397/100*60</f>
        <v>3925.8</v>
      </c>
      <c r="J397" s="717">
        <f>K397/100*40</f>
        <v>2617.2000000000003</v>
      </c>
      <c r="K397" s="717">
        <v>6543</v>
      </c>
    </row>
    <row r="398" spans="1:11" s="743" customFormat="1" ht="36.75" hidden="1" customHeight="1">
      <c r="A398" s="1135"/>
      <c r="B398" s="1136"/>
      <c r="C398" s="738"/>
      <c r="D398" s="738"/>
      <c r="E398" s="739"/>
      <c r="F398" s="740"/>
      <c r="G398" s="741"/>
      <c r="H398" s="741"/>
      <c r="I398" s="742"/>
      <c r="J398" s="742"/>
      <c r="K398" s="742"/>
    </row>
    <row r="399" spans="1:11" ht="66" hidden="1" customHeight="1">
      <c r="A399" s="1031" t="s">
        <v>37</v>
      </c>
      <c r="B399" s="1033"/>
      <c r="C399" s="1037" t="s">
        <v>178</v>
      </c>
      <c r="D399" s="1037" t="s">
        <v>179</v>
      </c>
      <c r="E399" s="1037" t="s">
        <v>1521</v>
      </c>
      <c r="F399" s="1037" t="s">
        <v>14</v>
      </c>
      <c r="G399" s="1037" t="s">
        <v>1515</v>
      </c>
      <c r="H399" s="1037" t="s">
        <v>16</v>
      </c>
      <c r="I399" s="1039" t="s">
        <v>1490</v>
      </c>
      <c r="J399" s="1039" t="s">
        <v>2203</v>
      </c>
      <c r="K399" s="1037" t="s">
        <v>200</v>
      </c>
    </row>
    <row r="400" spans="1:11" s="500" customFormat="1" ht="30" hidden="1">
      <c r="A400" s="1034"/>
      <c r="B400" s="1036"/>
      <c r="C400" s="1038"/>
      <c r="D400" s="1038"/>
      <c r="E400" s="1038"/>
      <c r="F400" s="1038"/>
      <c r="G400" s="1038"/>
      <c r="H400" s="1038"/>
      <c r="I400" s="1039"/>
      <c r="J400" s="1039"/>
      <c r="K400" s="1038"/>
    </row>
    <row r="401" spans="1:11" s="500" customFormat="1" ht="74.25" hidden="1" customHeight="1">
      <c r="A401" s="1102" t="s">
        <v>1514</v>
      </c>
      <c r="B401" s="1103"/>
      <c r="C401" s="729"/>
      <c r="D401" s="729"/>
      <c r="E401" s="726"/>
      <c r="F401" s="727"/>
      <c r="G401" s="728"/>
      <c r="H401" s="728"/>
      <c r="I401" s="642">
        <f>I402+I404+I408+I410</f>
        <v>458095.80000000005</v>
      </c>
      <c r="J401" s="642">
        <f>J402+J404+J408+J410</f>
        <v>305397.2</v>
      </c>
      <c r="K401" s="642">
        <f>I401+J401</f>
        <v>763493</v>
      </c>
    </row>
    <row r="402" spans="1:11" s="579" customFormat="1" ht="73.5" hidden="1" customHeight="1">
      <c r="A402" s="1011" t="s">
        <v>2251</v>
      </c>
      <c r="B402" s="1012"/>
      <c r="C402" s="1012"/>
      <c r="D402" s="1012"/>
      <c r="E402" s="1012"/>
      <c r="F402" s="1013"/>
      <c r="G402" s="709"/>
      <c r="H402" s="710"/>
      <c r="I402" s="545">
        <f>I403</f>
        <v>20635.2</v>
      </c>
      <c r="J402" s="545">
        <f>J403</f>
        <v>13756.800000000001</v>
      </c>
      <c r="K402" s="545">
        <f>I402+J402</f>
        <v>34392</v>
      </c>
    </row>
    <row r="403" spans="1:11" s="510" customFormat="1" ht="74.25" hidden="1" customHeight="1">
      <c r="A403" s="1020" t="s">
        <v>1512</v>
      </c>
      <c r="B403" s="1022"/>
      <c r="C403" s="714" t="s">
        <v>147</v>
      </c>
      <c r="D403" s="714">
        <v>50</v>
      </c>
      <c r="E403" s="725" t="s">
        <v>1516</v>
      </c>
      <c r="F403" s="833" t="s">
        <v>2255</v>
      </c>
      <c r="G403" s="835">
        <v>8100</v>
      </c>
      <c r="H403" s="834" t="s">
        <v>2273</v>
      </c>
      <c r="I403" s="717">
        <f>K403/100*60</f>
        <v>20635.2</v>
      </c>
      <c r="J403" s="717">
        <f>K403/100*40</f>
        <v>13756.800000000001</v>
      </c>
      <c r="K403" s="717">
        <v>34392</v>
      </c>
    </row>
    <row r="404" spans="1:11" ht="75" hidden="1" customHeight="1">
      <c r="A404" s="1011" t="s">
        <v>1541</v>
      </c>
      <c r="B404" s="1013"/>
      <c r="C404" s="709"/>
      <c r="D404" s="709"/>
      <c r="E404" s="709"/>
      <c r="F404" s="708"/>
      <c r="G404" s="709"/>
      <c r="H404" s="710"/>
      <c r="I404" s="545">
        <f>SUM(I405:I407)</f>
        <v>412860.60000000003</v>
      </c>
      <c r="J404" s="545">
        <f>SUM(J405:J407)</f>
        <v>275240.40000000002</v>
      </c>
      <c r="K404" s="545">
        <f>I404+J404</f>
        <v>688101</v>
      </c>
    </row>
    <row r="405" spans="1:11" s="510" customFormat="1" ht="74.25" hidden="1" customHeight="1">
      <c r="A405" s="1020" t="s">
        <v>1565</v>
      </c>
      <c r="B405" s="1022"/>
      <c r="C405" s="714" t="s">
        <v>1517</v>
      </c>
      <c r="D405" s="714">
        <v>70</v>
      </c>
      <c r="E405" s="725" t="s">
        <v>1518</v>
      </c>
      <c r="F405" s="829" t="s">
        <v>2229</v>
      </c>
      <c r="G405" s="1047">
        <v>8100</v>
      </c>
      <c r="H405" s="1099" t="s">
        <v>2273</v>
      </c>
      <c r="I405" s="717">
        <f>K405/100*60</f>
        <v>271938.60000000003</v>
      </c>
      <c r="J405" s="717">
        <f>K405/100*40</f>
        <v>181292.40000000002</v>
      </c>
      <c r="K405" s="717">
        <v>453231</v>
      </c>
    </row>
    <row r="406" spans="1:11" s="510" customFormat="1" ht="75" hidden="1" customHeight="1">
      <c r="A406" s="1020" t="s">
        <v>1513</v>
      </c>
      <c r="B406" s="1022"/>
      <c r="C406" s="714" t="s">
        <v>1519</v>
      </c>
      <c r="D406" s="714">
        <v>40</v>
      </c>
      <c r="E406" s="725" t="s">
        <v>1520</v>
      </c>
      <c r="F406" s="829" t="s">
        <v>2230</v>
      </c>
      <c r="G406" s="1048"/>
      <c r="H406" s="1100"/>
      <c r="I406" s="717">
        <f>K406/100*60</f>
        <v>60000</v>
      </c>
      <c r="J406" s="717">
        <f>K406/100*40</f>
        <v>40000</v>
      </c>
      <c r="K406" s="717">
        <v>100000</v>
      </c>
    </row>
    <row r="407" spans="1:11" s="510" customFormat="1" ht="75" hidden="1" customHeight="1">
      <c r="A407" s="1020" t="s">
        <v>1522</v>
      </c>
      <c r="B407" s="1022"/>
      <c r="C407" s="714" t="s">
        <v>1523</v>
      </c>
      <c r="D407" s="714">
        <v>40</v>
      </c>
      <c r="E407" s="725" t="s">
        <v>1524</v>
      </c>
      <c r="F407" s="829" t="s">
        <v>2231</v>
      </c>
      <c r="G407" s="1049"/>
      <c r="H407" s="1101"/>
      <c r="I407" s="717">
        <f>K407/100*60</f>
        <v>80922</v>
      </c>
      <c r="J407" s="717">
        <f>K407/100*40</f>
        <v>53948</v>
      </c>
      <c r="K407" s="717">
        <v>134870</v>
      </c>
    </row>
    <row r="408" spans="1:11" ht="74.25" hidden="1" customHeight="1">
      <c r="A408" s="1011" t="s">
        <v>278</v>
      </c>
      <c r="B408" s="1013"/>
      <c r="C408" s="504"/>
      <c r="D408" s="709"/>
      <c r="E408" s="709"/>
      <c r="F408" s="708"/>
      <c r="G408" s="709"/>
      <c r="H408" s="710"/>
      <c r="I408" s="545">
        <f>SUM(I409)</f>
        <v>6600</v>
      </c>
      <c r="J408" s="545">
        <f>SUM(J409)</f>
        <v>4400</v>
      </c>
      <c r="K408" s="545">
        <f>I408+J408</f>
        <v>11000</v>
      </c>
    </row>
    <row r="409" spans="1:11" s="510" customFormat="1" ht="74.25" hidden="1" customHeight="1">
      <c r="A409" s="1020" t="s">
        <v>1510</v>
      </c>
      <c r="B409" s="1022"/>
      <c r="C409" s="714" t="s">
        <v>18</v>
      </c>
      <c r="D409" s="714">
        <v>30</v>
      </c>
      <c r="E409" s="725" t="s">
        <v>1526</v>
      </c>
      <c r="F409" s="833" t="s">
        <v>2234</v>
      </c>
      <c r="G409" s="835">
        <v>8100</v>
      </c>
      <c r="H409" s="834" t="s">
        <v>2445</v>
      </c>
      <c r="I409" s="717">
        <f>K409/100*60</f>
        <v>6600</v>
      </c>
      <c r="J409" s="717">
        <f>K409/100*40</f>
        <v>4400</v>
      </c>
      <c r="K409" s="717">
        <v>11000</v>
      </c>
    </row>
    <row r="410" spans="1:11" ht="73.5" hidden="1" customHeight="1">
      <c r="A410" s="1011" t="s">
        <v>312</v>
      </c>
      <c r="B410" s="1013"/>
      <c r="C410" s="709"/>
      <c r="D410" s="709"/>
      <c r="E410" s="709"/>
      <c r="F410" s="708"/>
      <c r="G410" s="709"/>
      <c r="H410" s="710"/>
      <c r="I410" s="545">
        <f>I411</f>
        <v>18000</v>
      </c>
      <c r="J410" s="545">
        <f>J411</f>
        <v>12000</v>
      </c>
      <c r="K410" s="545">
        <f>I410+J410</f>
        <v>30000</v>
      </c>
    </row>
    <row r="411" spans="1:11" s="510" customFormat="1" ht="74.25" hidden="1" customHeight="1">
      <c r="A411" s="1020" t="s">
        <v>1511</v>
      </c>
      <c r="B411" s="1022"/>
      <c r="C411" s="714" t="s">
        <v>1525</v>
      </c>
      <c r="D411" s="714">
        <v>60</v>
      </c>
      <c r="E411" s="725" t="s">
        <v>1527</v>
      </c>
      <c r="F411" s="833" t="s">
        <v>2224</v>
      </c>
      <c r="G411" s="835">
        <v>8100</v>
      </c>
      <c r="H411" s="834" t="s">
        <v>2273</v>
      </c>
      <c r="I411" s="717">
        <f>K411/100*60</f>
        <v>18000</v>
      </c>
      <c r="J411" s="717">
        <f>K411/100*40</f>
        <v>12000</v>
      </c>
      <c r="K411" s="717">
        <v>30000</v>
      </c>
    </row>
    <row r="412" spans="1:11" s="510" customFormat="1" ht="74.25" hidden="1" customHeight="1">
      <c r="A412" s="753"/>
      <c r="B412" s="753"/>
      <c r="C412" s="754"/>
      <c r="D412" s="754"/>
      <c r="E412" s="759"/>
      <c r="F412" s="755"/>
      <c r="G412" s="758"/>
      <c r="H412" s="756"/>
      <c r="I412" s="757"/>
      <c r="J412" s="757"/>
      <c r="K412" s="757"/>
    </row>
    <row r="413" spans="1:11" s="510" customFormat="1" ht="74.25" hidden="1" customHeight="1">
      <c r="A413" s="753"/>
      <c r="B413" s="753"/>
      <c r="C413" s="754"/>
      <c r="D413" s="754"/>
      <c r="E413" s="759"/>
      <c r="F413" s="755"/>
      <c r="G413" s="758"/>
      <c r="H413" s="756"/>
      <c r="I413" s="757"/>
      <c r="J413" s="757"/>
      <c r="K413" s="757"/>
    </row>
    <row r="414" spans="1:11" s="510" customFormat="1" ht="74.25" hidden="1" customHeight="1">
      <c r="A414" s="753"/>
      <c r="B414" s="753"/>
      <c r="C414" s="754"/>
      <c r="D414" s="754"/>
      <c r="E414" s="759"/>
      <c r="F414" s="755"/>
      <c r="G414" s="758"/>
      <c r="H414" s="756"/>
      <c r="I414" s="757"/>
      <c r="J414" s="757"/>
      <c r="K414" s="757"/>
    </row>
    <row r="415" spans="1:11" s="510" customFormat="1" ht="74.25" hidden="1" customHeight="1">
      <c r="A415" s="753"/>
      <c r="B415" s="753"/>
      <c r="C415" s="754"/>
      <c r="D415" s="754"/>
      <c r="E415" s="759"/>
      <c r="F415" s="755"/>
      <c r="G415" s="758"/>
      <c r="H415" s="756"/>
      <c r="I415" s="757"/>
      <c r="J415" s="757"/>
      <c r="K415" s="757"/>
    </row>
    <row r="416" spans="1:11" s="510" customFormat="1" ht="74.25" hidden="1" customHeight="1">
      <c r="A416" s="753"/>
      <c r="B416" s="753"/>
      <c r="C416" s="754"/>
      <c r="D416" s="754"/>
      <c r="E416" s="759"/>
      <c r="F416" s="755"/>
      <c r="G416" s="758"/>
      <c r="H416" s="756"/>
      <c r="I416" s="757"/>
      <c r="J416" s="757"/>
      <c r="K416" s="757"/>
    </row>
    <row r="417" spans="1:11" ht="34.5" hidden="1" customHeight="1">
      <c r="A417" s="1128" t="s">
        <v>51</v>
      </c>
      <c r="B417" s="1128"/>
      <c r="C417" s="1128"/>
      <c r="D417" s="1128"/>
      <c r="E417" s="1128"/>
      <c r="F417" s="1128"/>
      <c r="G417" s="1128"/>
      <c r="H417" s="1128"/>
      <c r="I417" s="1128"/>
      <c r="J417" s="1128"/>
      <c r="K417" s="1128"/>
    </row>
    <row r="418" spans="1:11" ht="30.75" hidden="1" customHeight="1">
      <c r="A418" s="1128" t="s">
        <v>52</v>
      </c>
      <c r="B418" s="1128"/>
      <c r="C418" s="1128"/>
      <c r="D418" s="1128"/>
      <c r="E418" s="1128"/>
      <c r="F418" s="1128"/>
      <c r="G418" s="1128"/>
      <c r="H418" s="1128"/>
      <c r="I418" s="1128"/>
      <c r="J418" s="1128"/>
      <c r="K418" s="1128"/>
    </row>
    <row r="419" spans="1:11" ht="33" hidden="1" customHeight="1">
      <c r="A419" s="1132" t="s">
        <v>50</v>
      </c>
      <c r="B419" s="1132"/>
      <c r="C419" s="1132"/>
      <c r="D419" s="1132"/>
      <c r="E419" s="1132"/>
      <c r="F419" s="1132"/>
      <c r="G419" s="1132"/>
      <c r="H419" s="1132"/>
      <c r="I419" s="1132"/>
      <c r="J419" s="1132"/>
      <c r="K419" s="1132"/>
    </row>
    <row r="420" spans="1:11" ht="33" hidden="1" customHeight="1">
      <c r="A420" s="154"/>
      <c r="B420" s="154"/>
      <c r="C420" s="154"/>
      <c r="D420" s="154"/>
      <c r="E420" s="154"/>
      <c r="F420" s="154"/>
      <c r="G420" s="707"/>
      <c r="H420" s="707"/>
      <c r="I420" s="707"/>
      <c r="J420" s="707"/>
      <c r="K420" s="707"/>
    </row>
    <row r="421" spans="1:11" ht="35.25" hidden="1">
      <c r="A421" s="1128" t="s">
        <v>1489</v>
      </c>
      <c r="B421" s="1128"/>
      <c r="C421" s="1128"/>
      <c r="D421" s="1128"/>
      <c r="E421" s="1128"/>
      <c r="F421" s="1128"/>
      <c r="G421" s="1128"/>
      <c r="H421" s="1128"/>
      <c r="I421" s="1128"/>
      <c r="J421" s="1128"/>
      <c r="K421" s="1128"/>
    </row>
    <row r="422" spans="1:11" s="620" customFormat="1" ht="33" hidden="1">
      <c r="A422" s="65"/>
      <c r="B422" s="65"/>
      <c r="C422" s="65"/>
      <c r="D422" s="65"/>
      <c r="E422" s="65"/>
      <c r="F422" s="65"/>
      <c r="G422" s="68"/>
      <c r="H422" s="68"/>
      <c r="I422" s="68"/>
      <c r="J422" s="68"/>
      <c r="K422" s="68"/>
    </row>
    <row r="423" spans="1:11" ht="20.100000000000001" hidden="1" customHeight="1">
      <c r="A423" s="65"/>
      <c r="B423" s="65"/>
      <c r="C423" s="65"/>
      <c r="D423" s="65"/>
      <c r="E423" s="65"/>
      <c r="F423" s="65"/>
      <c r="G423" s="68"/>
      <c r="H423" s="68"/>
      <c r="I423" s="68"/>
      <c r="J423" s="68"/>
      <c r="K423" s="68"/>
    </row>
    <row r="424" spans="1:11" ht="20.100000000000001" hidden="1" customHeight="1">
      <c r="A424" s="979"/>
      <c r="B424" s="979"/>
      <c r="C424" s="979"/>
      <c r="D424" s="979"/>
      <c r="E424" s="979"/>
      <c r="F424" s="979"/>
      <c r="G424" s="979"/>
      <c r="H424" s="979"/>
      <c r="I424" s="979"/>
      <c r="J424" s="979"/>
      <c r="K424" s="979"/>
    </row>
    <row r="425" spans="1:11" ht="45.75" hidden="1" customHeight="1">
      <c r="A425" s="1030" t="s">
        <v>1381</v>
      </c>
      <c r="B425" s="1030"/>
      <c r="C425" s="1030"/>
      <c r="D425" s="1030"/>
      <c r="E425" s="1030"/>
      <c r="F425" s="1030"/>
      <c r="G425" s="1030"/>
      <c r="H425" s="1030"/>
      <c r="I425" s="1030"/>
      <c r="J425" s="1030"/>
      <c r="K425" s="1030"/>
    </row>
    <row r="426" spans="1:11" ht="66" hidden="1" customHeight="1">
      <c r="A426" s="1031" t="s">
        <v>37</v>
      </c>
      <c r="B426" s="1033"/>
      <c r="C426" s="1037" t="s">
        <v>178</v>
      </c>
      <c r="D426" s="1037" t="s">
        <v>179</v>
      </c>
      <c r="E426" s="1037" t="s">
        <v>1521</v>
      </c>
      <c r="F426" s="1037" t="s">
        <v>14</v>
      </c>
      <c r="G426" s="1037" t="s">
        <v>1515</v>
      </c>
      <c r="H426" s="1037" t="s">
        <v>16</v>
      </c>
      <c r="I426" s="1039" t="s">
        <v>1490</v>
      </c>
      <c r="J426" s="1039" t="s">
        <v>2203</v>
      </c>
      <c r="K426" s="1037" t="s">
        <v>200</v>
      </c>
    </row>
    <row r="427" spans="1:11" s="500" customFormat="1" ht="30" hidden="1">
      <c r="A427" s="1034"/>
      <c r="B427" s="1036"/>
      <c r="C427" s="1038"/>
      <c r="D427" s="1038"/>
      <c r="E427" s="1038"/>
      <c r="F427" s="1038"/>
      <c r="G427" s="1038"/>
      <c r="H427" s="1038"/>
      <c r="I427" s="1039"/>
      <c r="J427" s="1039"/>
      <c r="K427" s="1038"/>
    </row>
    <row r="428" spans="1:11" s="500" customFormat="1" ht="74.25" hidden="1" customHeight="1">
      <c r="A428" s="1102" t="s">
        <v>1665</v>
      </c>
      <c r="B428" s="1103"/>
      <c r="C428" s="729"/>
      <c r="D428" s="729"/>
      <c r="E428" s="726"/>
      <c r="F428" s="727"/>
      <c r="G428" s="728"/>
      <c r="H428" s="728"/>
      <c r="I428" s="642">
        <f>I429+I431+I442+I444</f>
        <v>458956.2</v>
      </c>
      <c r="J428" s="642">
        <f>J429+J431+J442+J444</f>
        <v>305970.8</v>
      </c>
      <c r="K428" s="642">
        <f>I428+J428</f>
        <v>764927</v>
      </c>
    </row>
    <row r="429" spans="1:11" s="579" customFormat="1" ht="73.5" hidden="1" customHeight="1">
      <c r="A429" s="1011" t="s">
        <v>2251</v>
      </c>
      <c r="B429" s="1012"/>
      <c r="C429" s="1012"/>
      <c r="D429" s="1012"/>
      <c r="E429" s="1012"/>
      <c r="F429" s="1013"/>
      <c r="G429" s="709"/>
      <c r="H429" s="710"/>
      <c r="I429" s="545">
        <f>I430</f>
        <v>39048.6</v>
      </c>
      <c r="J429" s="545">
        <f>J430</f>
        <v>26032.399999999998</v>
      </c>
      <c r="K429" s="545">
        <f>I429+J429</f>
        <v>65081</v>
      </c>
    </row>
    <row r="430" spans="1:11" s="510" customFormat="1" ht="74.25" hidden="1" customHeight="1">
      <c r="A430" s="1020" t="s">
        <v>246</v>
      </c>
      <c r="B430" s="1022"/>
      <c r="C430" s="714" t="s">
        <v>147</v>
      </c>
      <c r="D430" s="714">
        <v>35</v>
      </c>
      <c r="E430" s="725" t="s">
        <v>1666</v>
      </c>
      <c r="F430" s="833" t="s">
        <v>2256</v>
      </c>
      <c r="G430" s="835">
        <v>8100</v>
      </c>
      <c r="H430" s="834" t="s">
        <v>2273</v>
      </c>
      <c r="I430" s="717">
        <f>K430/100*60</f>
        <v>39048.6</v>
      </c>
      <c r="J430" s="717">
        <f>K430/100*40</f>
        <v>26032.399999999998</v>
      </c>
      <c r="K430" s="717">
        <v>65081</v>
      </c>
    </row>
    <row r="431" spans="1:11" ht="75" hidden="1" customHeight="1">
      <c r="A431" s="1011" t="s">
        <v>1541</v>
      </c>
      <c r="B431" s="1013"/>
      <c r="C431" s="709"/>
      <c r="D431" s="709"/>
      <c r="E431" s="709"/>
      <c r="F431" s="708"/>
      <c r="G431" s="709"/>
      <c r="H431" s="710"/>
      <c r="I431" s="545">
        <f>SUM(I432:I441)</f>
        <v>380117.4</v>
      </c>
      <c r="J431" s="545">
        <f>SUM(J432:J441)</f>
        <v>253411.6</v>
      </c>
      <c r="K431" s="545">
        <f>I431+J431</f>
        <v>633529</v>
      </c>
    </row>
    <row r="432" spans="1:11" s="510" customFormat="1" ht="74.25" hidden="1" customHeight="1">
      <c r="A432" s="1020" t="s">
        <v>1667</v>
      </c>
      <c r="B432" s="1022"/>
      <c r="C432" s="714" t="s">
        <v>147</v>
      </c>
      <c r="D432" s="714">
        <v>160</v>
      </c>
      <c r="E432" s="725" t="s">
        <v>1684</v>
      </c>
      <c r="F432" s="829" t="s">
        <v>2229</v>
      </c>
      <c r="G432" s="1047">
        <v>8100</v>
      </c>
      <c r="H432" s="1099" t="s">
        <v>2273</v>
      </c>
      <c r="I432" s="717">
        <f t="shared" ref="I432:I441" si="13">K432/100*60</f>
        <v>42000</v>
      </c>
      <c r="J432" s="717">
        <f t="shared" ref="J432:J441" si="14">K432/100*40</f>
        <v>28000</v>
      </c>
      <c r="K432" s="717">
        <v>70000</v>
      </c>
    </row>
    <row r="433" spans="1:11" s="510" customFormat="1" ht="75" hidden="1" customHeight="1">
      <c r="A433" s="1020" t="s">
        <v>1668</v>
      </c>
      <c r="B433" s="1022"/>
      <c r="C433" s="714" t="s">
        <v>1677</v>
      </c>
      <c r="D433" s="714">
        <v>1</v>
      </c>
      <c r="E433" s="725" t="s">
        <v>1685</v>
      </c>
      <c r="F433" s="829" t="s">
        <v>2230</v>
      </c>
      <c r="G433" s="1048"/>
      <c r="H433" s="1100"/>
      <c r="I433" s="717">
        <f t="shared" si="13"/>
        <v>210000</v>
      </c>
      <c r="J433" s="717">
        <f t="shared" si="14"/>
        <v>140000</v>
      </c>
      <c r="K433" s="717">
        <v>350000</v>
      </c>
    </row>
    <row r="434" spans="1:11" s="510" customFormat="1" ht="75" hidden="1" customHeight="1">
      <c r="A434" s="1020" t="s">
        <v>1669</v>
      </c>
      <c r="B434" s="1022"/>
      <c r="C434" s="714" t="s">
        <v>1678</v>
      </c>
      <c r="D434" s="744">
        <v>2</v>
      </c>
      <c r="E434" s="725" t="s">
        <v>1686</v>
      </c>
      <c r="F434" s="1044" t="s">
        <v>2231</v>
      </c>
      <c r="G434" s="1048"/>
      <c r="H434" s="1100"/>
      <c r="I434" s="717">
        <f t="shared" si="13"/>
        <v>12000</v>
      </c>
      <c r="J434" s="717">
        <f t="shared" si="14"/>
        <v>8000</v>
      </c>
      <c r="K434" s="717">
        <v>20000</v>
      </c>
    </row>
    <row r="435" spans="1:11" s="510" customFormat="1" ht="75" hidden="1" customHeight="1">
      <c r="A435" s="1020" t="s">
        <v>1670</v>
      </c>
      <c r="B435" s="1022"/>
      <c r="C435" s="714" t="s">
        <v>1679</v>
      </c>
      <c r="D435" s="714">
        <v>12</v>
      </c>
      <c r="E435" s="725" t="s">
        <v>1687</v>
      </c>
      <c r="F435" s="1045"/>
      <c r="G435" s="1048"/>
      <c r="H435" s="1100"/>
      <c r="I435" s="717">
        <f t="shared" si="13"/>
        <v>6000</v>
      </c>
      <c r="J435" s="717">
        <f t="shared" si="14"/>
        <v>4000</v>
      </c>
      <c r="K435" s="717">
        <v>10000</v>
      </c>
    </row>
    <row r="436" spans="1:11" s="510" customFormat="1" ht="75" hidden="1" customHeight="1">
      <c r="A436" s="1020" t="s">
        <v>1671</v>
      </c>
      <c r="B436" s="1022"/>
      <c r="C436" s="714" t="s">
        <v>1680</v>
      </c>
      <c r="D436" s="714">
        <v>2</v>
      </c>
      <c r="E436" s="725" t="s">
        <v>1688</v>
      </c>
      <c r="F436" s="1045"/>
      <c r="G436" s="1048"/>
      <c r="H436" s="1100"/>
      <c r="I436" s="717">
        <f t="shared" si="13"/>
        <v>49517.399999999994</v>
      </c>
      <c r="J436" s="717">
        <f t="shared" si="14"/>
        <v>33011.599999999999</v>
      </c>
      <c r="K436" s="717">
        <v>82529</v>
      </c>
    </row>
    <row r="437" spans="1:11" s="510" customFormat="1" ht="75" hidden="1" customHeight="1">
      <c r="A437" s="1020" t="s">
        <v>1672</v>
      </c>
      <c r="B437" s="1022"/>
      <c r="C437" s="714" t="s">
        <v>1681</v>
      </c>
      <c r="D437" s="714">
        <v>2</v>
      </c>
      <c r="E437" s="725" t="s">
        <v>1689</v>
      </c>
      <c r="F437" s="1045"/>
      <c r="G437" s="1048"/>
      <c r="H437" s="1100"/>
      <c r="I437" s="717">
        <f t="shared" si="13"/>
        <v>30000</v>
      </c>
      <c r="J437" s="717">
        <f t="shared" si="14"/>
        <v>20000</v>
      </c>
      <c r="K437" s="717">
        <v>50000</v>
      </c>
    </row>
    <row r="438" spans="1:11" s="510" customFormat="1" ht="75" hidden="1" customHeight="1">
      <c r="A438" s="1020" t="s">
        <v>1673</v>
      </c>
      <c r="B438" s="1022"/>
      <c r="C438" s="714" t="s">
        <v>1681</v>
      </c>
      <c r="D438" s="714">
        <v>2</v>
      </c>
      <c r="E438" s="725" t="s">
        <v>1690</v>
      </c>
      <c r="F438" s="1045"/>
      <c r="G438" s="1048"/>
      <c r="H438" s="1100"/>
      <c r="I438" s="717">
        <f t="shared" si="13"/>
        <v>18000</v>
      </c>
      <c r="J438" s="717">
        <f t="shared" si="14"/>
        <v>12000</v>
      </c>
      <c r="K438" s="717">
        <v>30000</v>
      </c>
    </row>
    <row r="439" spans="1:11" s="510" customFormat="1" ht="75" hidden="1" customHeight="1">
      <c r="A439" s="1020" t="s">
        <v>1674</v>
      </c>
      <c r="B439" s="1022"/>
      <c r="C439" s="714" t="s">
        <v>1682</v>
      </c>
      <c r="D439" s="714">
        <v>2</v>
      </c>
      <c r="E439" s="725" t="s">
        <v>1691</v>
      </c>
      <c r="F439" s="1045"/>
      <c r="G439" s="1048"/>
      <c r="H439" s="1100"/>
      <c r="I439" s="717">
        <f t="shared" si="13"/>
        <v>6000</v>
      </c>
      <c r="J439" s="717">
        <f t="shared" si="14"/>
        <v>4000</v>
      </c>
      <c r="K439" s="717">
        <v>10000</v>
      </c>
    </row>
    <row r="440" spans="1:11" s="510" customFormat="1" ht="75" hidden="1" customHeight="1">
      <c r="A440" s="1020" t="s">
        <v>1675</v>
      </c>
      <c r="B440" s="1022"/>
      <c r="C440" s="714" t="s">
        <v>1683</v>
      </c>
      <c r="D440" s="714">
        <v>1</v>
      </c>
      <c r="E440" s="725" t="s">
        <v>1692</v>
      </c>
      <c r="F440" s="1045"/>
      <c r="G440" s="1048"/>
      <c r="H440" s="1100"/>
      <c r="I440" s="717">
        <f t="shared" si="13"/>
        <v>4200</v>
      </c>
      <c r="J440" s="717">
        <f t="shared" si="14"/>
        <v>2800</v>
      </c>
      <c r="K440" s="717">
        <v>7000</v>
      </c>
    </row>
    <row r="441" spans="1:11" s="510" customFormat="1" ht="75" hidden="1" customHeight="1">
      <c r="A441" s="1020" t="s">
        <v>1676</v>
      </c>
      <c r="B441" s="1022"/>
      <c r="C441" s="714" t="s">
        <v>1682</v>
      </c>
      <c r="D441" s="744">
        <v>2</v>
      </c>
      <c r="E441" s="725" t="s">
        <v>1692</v>
      </c>
      <c r="F441" s="1046"/>
      <c r="G441" s="1049"/>
      <c r="H441" s="1101"/>
      <c r="I441" s="717">
        <f t="shared" si="13"/>
        <v>2400</v>
      </c>
      <c r="J441" s="717">
        <f t="shared" si="14"/>
        <v>1600</v>
      </c>
      <c r="K441" s="717">
        <v>4000</v>
      </c>
    </row>
    <row r="442" spans="1:11" ht="74.25" hidden="1" customHeight="1">
      <c r="A442" s="1011" t="s">
        <v>278</v>
      </c>
      <c r="B442" s="1013"/>
      <c r="C442" s="504"/>
      <c r="D442" s="709"/>
      <c r="E442" s="709"/>
      <c r="F442" s="708"/>
      <c r="G442" s="709"/>
      <c r="H442" s="710"/>
      <c r="I442" s="545">
        <f>SUM(I443)</f>
        <v>9000</v>
      </c>
      <c r="J442" s="545">
        <f>SUM(J443)</f>
        <v>6000</v>
      </c>
      <c r="K442" s="545">
        <f>I442+J442</f>
        <v>15000</v>
      </c>
    </row>
    <row r="443" spans="1:11" s="510" customFormat="1" ht="74.25" hidden="1" customHeight="1">
      <c r="A443" s="1020" t="s">
        <v>1595</v>
      </c>
      <c r="B443" s="1022"/>
      <c r="C443" s="714" t="s">
        <v>18</v>
      </c>
      <c r="D443" s="714">
        <v>30</v>
      </c>
      <c r="E443" s="725" t="s">
        <v>1693</v>
      </c>
      <c r="F443" s="833" t="s">
        <v>2234</v>
      </c>
      <c r="G443" s="835">
        <v>8100</v>
      </c>
      <c r="H443" s="834" t="s">
        <v>2445</v>
      </c>
      <c r="I443" s="717">
        <f>K443/100*60</f>
        <v>9000</v>
      </c>
      <c r="J443" s="717">
        <f>K443/100*40</f>
        <v>6000</v>
      </c>
      <c r="K443" s="717">
        <v>15000</v>
      </c>
    </row>
    <row r="444" spans="1:11" ht="73.5" hidden="1" customHeight="1">
      <c r="A444" s="1011" t="s">
        <v>312</v>
      </c>
      <c r="B444" s="1013"/>
      <c r="C444" s="709"/>
      <c r="D444" s="709"/>
      <c r="E444" s="709"/>
      <c r="F444" s="708"/>
      <c r="G444" s="709"/>
      <c r="H444" s="710"/>
      <c r="I444" s="545">
        <f>SUM(I445:I448)</f>
        <v>30790.2</v>
      </c>
      <c r="J444" s="545">
        <f>SUM(J445:J448)</f>
        <v>20526.8</v>
      </c>
      <c r="K444" s="545">
        <f>I444+J444</f>
        <v>51317</v>
      </c>
    </row>
    <row r="445" spans="1:11" s="510" customFormat="1" ht="74.25" hidden="1" customHeight="1">
      <c r="A445" s="1020" t="s">
        <v>1694</v>
      </c>
      <c r="B445" s="1022"/>
      <c r="C445" s="714" t="s">
        <v>1698</v>
      </c>
      <c r="D445" s="714">
        <v>2</v>
      </c>
      <c r="E445" s="725" t="s">
        <v>1692</v>
      </c>
      <c r="F445" s="1044" t="s">
        <v>2224</v>
      </c>
      <c r="G445" s="1047">
        <v>8100</v>
      </c>
      <c r="H445" s="1099" t="s">
        <v>2273</v>
      </c>
      <c r="I445" s="717">
        <f>K445/100*60</f>
        <v>6000</v>
      </c>
      <c r="J445" s="717">
        <f>K445/100*40</f>
        <v>4000</v>
      </c>
      <c r="K445" s="717">
        <v>10000</v>
      </c>
    </row>
    <row r="446" spans="1:11" s="510" customFormat="1" ht="74.25" hidden="1" customHeight="1">
      <c r="A446" s="1020" t="s">
        <v>1695</v>
      </c>
      <c r="B446" s="1022"/>
      <c r="C446" s="714" t="s">
        <v>1699</v>
      </c>
      <c r="D446" s="714">
        <v>2</v>
      </c>
      <c r="E446" s="725" t="s">
        <v>1701</v>
      </c>
      <c r="F446" s="1045"/>
      <c r="G446" s="1048"/>
      <c r="H446" s="1100"/>
      <c r="I446" s="717">
        <f>K446/100*60</f>
        <v>6600</v>
      </c>
      <c r="J446" s="717">
        <f>K446/100*40</f>
        <v>4400</v>
      </c>
      <c r="K446" s="717">
        <v>11000</v>
      </c>
    </row>
    <row r="447" spans="1:11" s="510" customFormat="1" ht="74.25" hidden="1" customHeight="1">
      <c r="A447" s="1020" t="s">
        <v>1696</v>
      </c>
      <c r="B447" s="1022"/>
      <c r="C447" s="714" t="s">
        <v>1700</v>
      </c>
      <c r="D447" s="714">
        <v>2</v>
      </c>
      <c r="E447" s="725" t="s">
        <v>1702</v>
      </c>
      <c r="F447" s="1045"/>
      <c r="G447" s="1048"/>
      <c r="H447" s="1100"/>
      <c r="I447" s="717">
        <f>K447/100*60</f>
        <v>12000</v>
      </c>
      <c r="J447" s="717">
        <f>K447/100*40</f>
        <v>8000</v>
      </c>
      <c r="K447" s="717">
        <v>20000</v>
      </c>
    </row>
    <row r="448" spans="1:11" s="510" customFormat="1" ht="74.25" hidden="1" customHeight="1">
      <c r="A448" s="1020" t="s">
        <v>1697</v>
      </c>
      <c r="B448" s="1022"/>
      <c r="C448" s="714" t="s">
        <v>1698</v>
      </c>
      <c r="D448" s="714">
        <v>2</v>
      </c>
      <c r="E448" s="725" t="s">
        <v>1703</v>
      </c>
      <c r="F448" s="1046"/>
      <c r="G448" s="1049"/>
      <c r="H448" s="1101"/>
      <c r="I448" s="717">
        <f>K448/100*60</f>
        <v>6190.2</v>
      </c>
      <c r="J448" s="717">
        <f>K448/100*40</f>
        <v>4126.8</v>
      </c>
      <c r="K448" s="717">
        <v>10317</v>
      </c>
    </row>
    <row r="449" spans="1:11" s="510" customFormat="1" ht="74.25" hidden="1" customHeight="1">
      <c r="A449" s="753"/>
      <c r="B449" s="753"/>
      <c r="C449" s="754"/>
      <c r="D449" s="754"/>
      <c r="E449" s="759"/>
      <c r="F449" s="755"/>
      <c r="G449" s="758"/>
      <c r="H449" s="756"/>
      <c r="I449" s="757"/>
      <c r="J449" s="757"/>
      <c r="K449" s="757"/>
    </row>
    <row r="450" spans="1:11" s="510" customFormat="1" ht="74.25" hidden="1" customHeight="1">
      <c r="A450" s="753"/>
      <c r="B450" s="753"/>
      <c r="C450" s="754"/>
      <c r="D450" s="754"/>
      <c r="E450" s="759"/>
      <c r="F450" s="755"/>
      <c r="G450" s="758"/>
      <c r="H450" s="756"/>
      <c r="I450" s="757"/>
      <c r="J450" s="757"/>
      <c r="K450" s="757"/>
    </row>
    <row r="451" spans="1:11" s="510" customFormat="1" ht="74.25" hidden="1" customHeight="1">
      <c r="A451" s="753"/>
      <c r="B451" s="753"/>
      <c r="C451" s="754"/>
      <c r="D451" s="754"/>
      <c r="E451" s="759"/>
      <c r="F451" s="755"/>
      <c r="G451" s="758"/>
      <c r="H451" s="756"/>
      <c r="I451" s="757"/>
      <c r="J451" s="757"/>
      <c r="K451" s="757"/>
    </row>
    <row r="452" spans="1:11" s="510" customFormat="1" ht="74.25" hidden="1" customHeight="1">
      <c r="A452" s="753"/>
      <c r="B452" s="753"/>
      <c r="C452" s="754"/>
      <c r="D452" s="754"/>
      <c r="E452" s="759"/>
      <c r="F452" s="755"/>
      <c r="G452" s="758"/>
      <c r="H452" s="756"/>
      <c r="I452" s="757"/>
      <c r="J452" s="757"/>
      <c r="K452" s="757"/>
    </row>
    <row r="453" spans="1:11" s="510" customFormat="1" ht="74.25" hidden="1" customHeight="1">
      <c r="A453" s="753"/>
      <c r="B453" s="753"/>
      <c r="C453" s="754"/>
      <c r="D453" s="754"/>
      <c r="E453" s="759"/>
      <c r="F453" s="755"/>
      <c r="G453" s="758"/>
      <c r="H453" s="756"/>
      <c r="I453" s="757"/>
      <c r="J453" s="757"/>
      <c r="K453" s="757"/>
    </row>
    <row r="454" spans="1:11" s="510" customFormat="1" ht="74.25" hidden="1" customHeight="1">
      <c r="A454" s="753"/>
      <c r="B454" s="753"/>
      <c r="C454" s="754"/>
      <c r="D454" s="754"/>
      <c r="E454" s="759"/>
      <c r="F454" s="755"/>
      <c r="G454" s="758"/>
      <c r="H454" s="756"/>
      <c r="I454" s="757"/>
      <c r="J454" s="757"/>
      <c r="K454" s="757"/>
    </row>
    <row r="455" spans="1:11" s="510" customFormat="1" ht="74.25" hidden="1" customHeight="1">
      <c r="A455" s="753"/>
      <c r="B455" s="753"/>
      <c r="C455" s="754"/>
      <c r="D455" s="754"/>
      <c r="E455" s="759"/>
      <c r="F455" s="755"/>
      <c r="G455" s="758"/>
      <c r="H455" s="756"/>
      <c r="I455" s="757"/>
      <c r="J455" s="757"/>
      <c r="K455" s="757"/>
    </row>
    <row r="456" spans="1:11" s="510" customFormat="1" ht="74.25" hidden="1" customHeight="1">
      <c r="A456" s="753"/>
      <c r="B456" s="753"/>
      <c r="C456" s="754"/>
      <c r="D456" s="754"/>
      <c r="E456" s="759"/>
      <c r="F456" s="755"/>
      <c r="G456" s="758"/>
      <c r="H456" s="756"/>
      <c r="I456" s="757"/>
      <c r="J456" s="757"/>
      <c r="K456" s="757"/>
    </row>
    <row r="457" spans="1:11" s="510" customFormat="1" ht="74.25" hidden="1" customHeight="1">
      <c r="A457" s="753"/>
      <c r="B457" s="753"/>
      <c r="C457" s="754"/>
      <c r="D457" s="754"/>
      <c r="E457" s="759"/>
      <c r="F457" s="755"/>
      <c r="G457" s="758"/>
      <c r="H457" s="756"/>
      <c r="I457" s="757"/>
      <c r="J457" s="757"/>
      <c r="K457" s="757"/>
    </row>
    <row r="458" spans="1:11" s="510" customFormat="1" ht="74.25" hidden="1" customHeight="1">
      <c r="A458" s="753"/>
      <c r="B458" s="753"/>
      <c r="C458" s="754"/>
      <c r="D458" s="754"/>
      <c r="E458" s="759"/>
      <c r="F458" s="755"/>
      <c r="G458" s="758"/>
      <c r="H458" s="756"/>
      <c r="I458" s="757"/>
      <c r="J458" s="757"/>
      <c r="K458" s="757"/>
    </row>
    <row r="459" spans="1:11" s="510" customFormat="1" ht="74.25" hidden="1" customHeight="1">
      <c r="A459" s="753"/>
      <c r="B459" s="753"/>
      <c r="C459" s="754"/>
      <c r="D459" s="754"/>
      <c r="E459" s="759"/>
      <c r="F459" s="755"/>
      <c r="G459" s="758"/>
      <c r="H459" s="756"/>
      <c r="I459" s="757"/>
      <c r="J459" s="757"/>
      <c r="K459" s="757"/>
    </row>
    <row r="460" spans="1:11" ht="34.5" hidden="1" customHeight="1">
      <c r="A460" s="1128" t="s">
        <v>51</v>
      </c>
      <c r="B460" s="1128"/>
      <c r="C460" s="1128"/>
      <c r="D460" s="1128"/>
      <c r="E460" s="1128"/>
      <c r="F460" s="1128"/>
      <c r="G460" s="1128"/>
      <c r="H460" s="1128"/>
      <c r="I460" s="1128"/>
      <c r="J460" s="1128"/>
      <c r="K460" s="1128"/>
    </row>
    <row r="461" spans="1:11" ht="30.75" hidden="1" customHeight="1">
      <c r="A461" s="1128" t="s">
        <v>52</v>
      </c>
      <c r="B461" s="1128"/>
      <c r="C461" s="1128"/>
      <c r="D461" s="1128"/>
      <c r="E461" s="1128"/>
      <c r="F461" s="1128"/>
      <c r="G461" s="1128"/>
      <c r="H461" s="1128"/>
      <c r="I461" s="1128"/>
      <c r="J461" s="1128"/>
      <c r="K461" s="1128"/>
    </row>
    <row r="462" spans="1:11" ht="33" hidden="1" customHeight="1">
      <c r="A462" s="1132" t="s">
        <v>50</v>
      </c>
      <c r="B462" s="1132"/>
      <c r="C462" s="1132"/>
      <c r="D462" s="1132"/>
      <c r="E462" s="1132"/>
      <c r="F462" s="1132"/>
      <c r="G462" s="1132"/>
      <c r="H462" s="1132"/>
      <c r="I462" s="1132"/>
      <c r="J462" s="1132"/>
      <c r="K462" s="1132"/>
    </row>
    <row r="463" spans="1:11" ht="33" hidden="1" customHeight="1">
      <c r="A463" s="154"/>
      <c r="B463" s="154"/>
      <c r="C463" s="154"/>
      <c r="D463" s="154"/>
      <c r="E463" s="154"/>
      <c r="F463" s="154"/>
      <c r="G463" s="707"/>
      <c r="H463" s="707"/>
      <c r="I463" s="707"/>
      <c r="J463" s="707"/>
      <c r="K463" s="707"/>
    </row>
    <row r="464" spans="1:11" ht="35.25" hidden="1">
      <c r="A464" s="1128" t="s">
        <v>1489</v>
      </c>
      <c r="B464" s="1128"/>
      <c r="C464" s="1128"/>
      <c r="D464" s="1128"/>
      <c r="E464" s="1128"/>
      <c r="F464" s="1128"/>
      <c r="G464" s="1128"/>
      <c r="H464" s="1128"/>
      <c r="I464" s="1128"/>
      <c r="J464" s="1128"/>
      <c r="K464" s="1128"/>
    </row>
    <row r="465" spans="1:11" s="620" customFormat="1" ht="33" hidden="1">
      <c r="A465" s="65"/>
      <c r="B465" s="65"/>
      <c r="C465" s="65"/>
      <c r="D465" s="65"/>
      <c r="E465" s="65"/>
      <c r="F465" s="65"/>
      <c r="G465" s="68"/>
      <c r="H465" s="68"/>
      <c r="I465" s="68"/>
      <c r="J465" s="68"/>
      <c r="K465" s="68"/>
    </row>
    <row r="466" spans="1:11" ht="20.100000000000001" hidden="1" customHeight="1">
      <c r="A466" s="65"/>
      <c r="B466" s="65"/>
      <c r="C466" s="65"/>
      <c r="D466" s="65"/>
      <c r="E466" s="65"/>
      <c r="F466" s="65"/>
      <c r="G466" s="68"/>
      <c r="H466" s="68"/>
      <c r="I466" s="68"/>
      <c r="J466" s="68"/>
      <c r="K466" s="68"/>
    </row>
    <row r="467" spans="1:11" ht="20.100000000000001" hidden="1" customHeight="1">
      <c r="A467" s="979"/>
      <c r="B467" s="979"/>
      <c r="C467" s="979"/>
      <c r="D467" s="979"/>
      <c r="E467" s="979"/>
      <c r="F467" s="979"/>
      <c r="G467" s="979"/>
      <c r="H467" s="979"/>
      <c r="I467" s="979"/>
      <c r="J467" s="979"/>
      <c r="K467" s="979"/>
    </row>
    <row r="468" spans="1:11" ht="45.75" hidden="1" customHeight="1">
      <c r="A468" s="1030" t="s">
        <v>1381</v>
      </c>
      <c r="B468" s="1030"/>
      <c r="C468" s="1030"/>
      <c r="D468" s="1030"/>
      <c r="E468" s="1030"/>
      <c r="F468" s="1030"/>
      <c r="G468" s="1030"/>
      <c r="H468" s="1030"/>
      <c r="I468" s="1030"/>
      <c r="J468" s="1030"/>
      <c r="K468" s="1030"/>
    </row>
    <row r="469" spans="1:11" ht="66" hidden="1" customHeight="1">
      <c r="A469" s="1039" t="s">
        <v>37</v>
      </c>
      <c r="B469" s="1039"/>
      <c r="C469" s="1039" t="s">
        <v>178</v>
      </c>
      <c r="D469" s="1039" t="s">
        <v>179</v>
      </c>
      <c r="E469" s="1039" t="s">
        <v>1521</v>
      </c>
      <c r="F469" s="1039" t="s">
        <v>14</v>
      </c>
      <c r="G469" s="1039" t="s">
        <v>1515</v>
      </c>
      <c r="H469" s="1039" t="s">
        <v>16</v>
      </c>
      <c r="I469" s="1039" t="s">
        <v>1490</v>
      </c>
      <c r="J469" s="1039" t="s">
        <v>2203</v>
      </c>
      <c r="K469" s="1039" t="s">
        <v>200</v>
      </c>
    </row>
    <row r="470" spans="1:11" s="500" customFormat="1" ht="30" hidden="1">
      <c r="A470" s="1039"/>
      <c r="B470" s="1039"/>
      <c r="C470" s="1039"/>
      <c r="D470" s="1039"/>
      <c r="E470" s="1039"/>
      <c r="F470" s="1039"/>
      <c r="G470" s="1039"/>
      <c r="H470" s="1039"/>
      <c r="I470" s="1039"/>
      <c r="J470" s="1039"/>
      <c r="K470" s="1039"/>
    </row>
    <row r="471" spans="1:11" s="500" customFormat="1" ht="74.25" hidden="1" customHeight="1">
      <c r="A471" s="1102" t="s">
        <v>1618</v>
      </c>
      <c r="B471" s="1103"/>
      <c r="C471" s="729"/>
      <c r="D471" s="729"/>
      <c r="E471" s="726"/>
      <c r="F471" s="727"/>
      <c r="G471" s="728"/>
      <c r="H471" s="728"/>
      <c r="I471" s="642">
        <f>I472+I478+I480</f>
        <v>217060.8</v>
      </c>
      <c r="J471" s="642">
        <f>J472+J478+J480</f>
        <v>144707.20000000001</v>
      </c>
      <c r="K471" s="642">
        <f>I471+J471</f>
        <v>361768</v>
      </c>
    </row>
    <row r="472" spans="1:11" ht="75" hidden="1" customHeight="1">
      <c r="A472" s="1011" t="s">
        <v>1541</v>
      </c>
      <c r="B472" s="1013"/>
      <c r="C472" s="709"/>
      <c r="D472" s="709"/>
      <c r="E472" s="709"/>
      <c r="F472" s="708"/>
      <c r="G472" s="709"/>
      <c r="H472" s="710"/>
      <c r="I472" s="545">
        <f>SUM(I473:I477)</f>
        <v>210460.79999999999</v>
      </c>
      <c r="J472" s="545">
        <f>SUM(J473:J477)</f>
        <v>140307.20000000001</v>
      </c>
      <c r="K472" s="545">
        <f>I472+J472</f>
        <v>350768</v>
      </c>
    </row>
    <row r="473" spans="1:11" s="510" customFormat="1" ht="74.25" hidden="1" customHeight="1">
      <c r="A473" s="1020" t="s">
        <v>1629</v>
      </c>
      <c r="B473" s="1022"/>
      <c r="C473" s="714" t="s">
        <v>1619</v>
      </c>
      <c r="D473" s="714">
        <v>40</v>
      </c>
      <c r="E473" s="725" t="s">
        <v>1620</v>
      </c>
      <c r="F473" s="833" t="s">
        <v>2229</v>
      </c>
      <c r="G473" s="1047">
        <v>8100</v>
      </c>
      <c r="H473" s="1099" t="s">
        <v>2273</v>
      </c>
      <c r="I473" s="717">
        <f>K473/100*60</f>
        <v>93133.2</v>
      </c>
      <c r="J473" s="717">
        <f>K473/100*40</f>
        <v>62088.800000000003</v>
      </c>
      <c r="K473" s="717">
        <v>155222</v>
      </c>
    </row>
    <row r="474" spans="1:11" s="510" customFormat="1" ht="75" hidden="1" customHeight="1">
      <c r="A474" s="1020" t="s">
        <v>1630</v>
      </c>
      <c r="B474" s="1022"/>
      <c r="C474" s="714" t="s">
        <v>1621</v>
      </c>
      <c r="D474" s="714">
        <v>9</v>
      </c>
      <c r="E474" s="725" t="s">
        <v>1622</v>
      </c>
      <c r="F474" s="830" t="s">
        <v>2236</v>
      </c>
      <c r="G474" s="1048"/>
      <c r="H474" s="1100"/>
      <c r="I474" s="717">
        <f>K474/100*60</f>
        <v>24998.399999999998</v>
      </c>
      <c r="J474" s="717">
        <f>K474/100*40</f>
        <v>16665.599999999999</v>
      </c>
      <c r="K474" s="717">
        <v>41664</v>
      </c>
    </row>
    <row r="475" spans="1:11" s="510" customFormat="1" ht="75" hidden="1" customHeight="1">
      <c r="A475" s="1020" t="s">
        <v>1606</v>
      </c>
      <c r="B475" s="1022"/>
      <c r="C475" s="714" t="s">
        <v>1623</v>
      </c>
      <c r="D475" s="714">
        <v>40</v>
      </c>
      <c r="E475" s="725" t="s">
        <v>1624</v>
      </c>
      <c r="F475" s="829" t="s">
        <v>2230</v>
      </c>
      <c r="G475" s="1048"/>
      <c r="H475" s="1100"/>
      <c r="I475" s="717">
        <f>K475/100*60</f>
        <v>36000</v>
      </c>
      <c r="J475" s="717">
        <f>K475/100*40</f>
        <v>24000</v>
      </c>
      <c r="K475" s="717">
        <v>60000</v>
      </c>
    </row>
    <row r="476" spans="1:11" s="510" customFormat="1" ht="75" hidden="1" customHeight="1">
      <c r="A476" s="1020" t="s">
        <v>1631</v>
      </c>
      <c r="B476" s="1022"/>
      <c r="C476" s="714" t="s">
        <v>245</v>
      </c>
      <c r="D476" s="714">
        <v>4</v>
      </c>
      <c r="E476" s="725" t="s">
        <v>1625</v>
      </c>
      <c r="F476" s="1044" t="s">
        <v>2231</v>
      </c>
      <c r="G476" s="1048"/>
      <c r="H476" s="1100"/>
      <c r="I476" s="717">
        <f>K476/100*60</f>
        <v>35329.200000000004</v>
      </c>
      <c r="J476" s="717">
        <f>K476/100*40</f>
        <v>23552.800000000003</v>
      </c>
      <c r="K476" s="717">
        <v>58882</v>
      </c>
    </row>
    <row r="477" spans="1:11" s="510" customFormat="1" ht="75" hidden="1" customHeight="1">
      <c r="A477" s="1020" t="s">
        <v>1632</v>
      </c>
      <c r="B477" s="1022"/>
      <c r="C477" s="714" t="s">
        <v>216</v>
      </c>
      <c r="D477" s="714">
        <v>100</v>
      </c>
      <c r="E477" s="725" t="s">
        <v>1625</v>
      </c>
      <c r="F477" s="1046"/>
      <c r="G477" s="1049"/>
      <c r="H477" s="1101"/>
      <c r="I477" s="717">
        <f>K477/100*60</f>
        <v>21000</v>
      </c>
      <c r="J477" s="717">
        <f>K477/100*40</f>
        <v>14000</v>
      </c>
      <c r="K477" s="717">
        <v>35000</v>
      </c>
    </row>
    <row r="478" spans="1:11" ht="74.25" hidden="1" customHeight="1">
      <c r="A478" s="1011" t="s">
        <v>278</v>
      </c>
      <c r="B478" s="1013"/>
      <c r="C478" s="504"/>
      <c r="D478" s="709"/>
      <c r="E478" s="709"/>
      <c r="F478" s="708"/>
      <c r="G478" s="709"/>
      <c r="H478" s="710"/>
      <c r="I478" s="545">
        <f>SUM(I479)</f>
        <v>3600</v>
      </c>
      <c r="J478" s="545">
        <f>SUM(J479)</f>
        <v>2400</v>
      </c>
      <c r="K478" s="545">
        <f>I478+J478</f>
        <v>6000</v>
      </c>
    </row>
    <row r="479" spans="1:11" s="510" customFormat="1" ht="74.25" hidden="1" customHeight="1">
      <c r="A479" s="1020" t="s">
        <v>1627</v>
      </c>
      <c r="B479" s="1022"/>
      <c r="C479" s="714" t="s">
        <v>1215</v>
      </c>
      <c r="D479" s="714">
        <v>10</v>
      </c>
      <c r="E479" s="725" t="s">
        <v>1626</v>
      </c>
      <c r="F479" s="833" t="s">
        <v>2234</v>
      </c>
      <c r="G479" s="835">
        <v>8100</v>
      </c>
      <c r="H479" s="834" t="s">
        <v>2445</v>
      </c>
      <c r="I479" s="717">
        <f>K479/100*60</f>
        <v>3600</v>
      </c>
      <c r="J479" s="717">
        <f>K479/100*40</f>
        <v>2400</v>
      </c>
      <c r="K479" s="717">
        <v>6000</v>
      </c>
    </row>
    <row r="480" spans="1:11" ht="73.5" hidden="1" customHeight="1">
      <c r="A480" s="1011" t="s">
        <v>312</v>
      </c>
      <c r="B480" s="1013"/>
      <c r="C480" s="709"/>
      <c r="D480" s="709"/>
      <c r="E480" s="709"/>
      <c r="F480" s="708"/>
      <c r="G480" s="709"/>
      <c r="H480" s="710"/>
      <c r="I480" s="545">
        <f>SUM(I481:I481)</f>
        <v>3000</v>
      </c>
      <c r="J480" s="545">
        <f>SUM(J481:J481)</f>
        <v>2000</v>
      </c>
      <c r="K480" s="545">
        <f>SUM(K481:K481)</f>
        <v>5000</v>
      </c>
    </row>
    <row r="481" spans="1:11" s="510" customFormat="1" ht="74.25" hidden="1" customHeight="1">
      <c r="A481" s="1020" t="s">
        <v>1555</v>
      </c>
      <c r="B481" s="1022"/>
      <c r="C481" s="714" t="s">
        <v>1623</v>
      </c>
      <c r="D481" s="714">
        <v>20</v>
      </c>
      <c r="E481" s="725" t="s">
        <v>1628</v>
      </c>
      <c r="F481" s="833" t="s">
        <v>2224</v>
      </c>
      <c r="G481" s="827">
        <v>8100</v>
      </c>
      <c r="H481" s="828" t="s">
        <v>2273</v>
      </c>
      <c r="I481" s="717">
        <f>K481/100*60</f>
        <v>3000</v>
      </c>
      <c r="J481" s="717">
        <f>K481/100*40</f>
        <v>2000</v>
      </c>
      <c r="K481" s="717">
        <v>5000</v>
      </c>
    </row>
    <row r="482" spans="1:11" s="743" customFormat="1" ht="36.75" hidden="1" customHeight="1">
      <c r="A482" s="1135"/>
      <c r="B482" s="1136"/>
      <c r="C482" s="738"/>
      <c r="D482" s="738"/>
      <c r="E482" s="739"/>
      <c r="F482" s="740"/>
      <c r="G482" s="741"/>
      <c r="H482" s="741"/>
      <c r="I482" s="742"/>
      <c r="J482" s="742"/>
      <c r="K482" s="742"/>
    </row>
    <row r="483" spans="1:11" ht="66" hidden="1" customHeight="1">
      <c r="A483" s="1031" t="s">
        <v>37</v>
      </c>
      <c r="B483" s="1033"/>
      <c r="C483" s="1037" t="s">
        <v>178</v>
      </c>
      <c r="D483" s="1037" t="s">
        <v>179</v>
      </c>
      <c r="E483" s="1037" t="s">
        <v>1521</v>
      </c>
      <c r="F483" s="1037" t="s">
        <v>14</v>
      </c>
      <c r="G483" s="1037" t="s">
        <v>1515</v>
      </c>
      <c r="H483" s="1037" t="s">
        <v>16</v>
      </c>
      <c r="I483" s="1039" t="s">
        <v>1490</v>
      </c>
      <c r="J483" s="1039" t="s">
        <v>2203</v>
      </c>
      <c r="K483" s="1037" t="s">
        <v>200</v>
      </c>
    </row>
    <row r="484" spans="1:11" s="500" customFormat="1" ht="30" hidden="1">
      <c r="A484" s="1034"/>
      <c r="B484" s="1036"/>
      <c r="C484" s="1038"/>
      <c r="D484" s="1038"/>
      <c r="E484" s="1038"/>
      <c r="F484" s="1038"/>
      <c r="G484" s="1038"/>
      <c r="H484" s="1038"/>
      <c r="I484" s="1039"/>
      <c r="J484" s="1039"/>
      <c r="K484" s="1038"/>
    </row>
    <row r="485" spans="1:11" s="500" customFormat="1" ht="74.25" hidden="1" customHeight="1">
      <c r="A485" s="1102" t="s">
        <v>1530</v>
      </c>
      <c r="B485" s="1103"/>
      <c r="C485" s="729"/>
      <c r="D485" s="729"/>
      <c r="E485" s="726"/>
      <c r="F485" s="727"/>
      <c r="G485" s="728"/>
      <c r="H485" s="728"/>
      <c r="I485" s="642">
        <f>I486+I488</f>
        <v>567863.4</v>
      </c>
      <c r="J485" s="642">
        <f>J486+J488</f>
        <v>378575.6</v>
      </c>
      <c r="K485" s="642">
        <f>I485+J485</f>
        <v>946439</v>
      </c>
    </row>
    <row r="486" spans="1:11" s="579" customFormat="1" ht="73.5" hidden="1" customHeight="1">
      <c r="A486" s="1011" t="s">
        <v>2251</v>
      </c>
      <c r="B486" s="1013"/>
      <c r="C486" s="709"/>
      <c r="D486" s="709"/>
      <c r="E486" s="709"/>
      <c r="F486" s="708"/>
      <c r="G486" s="709"/>
      <c r="H486" s="710"/>
      <c r="I486" s="545">
        <f>I487</f>
        <v>72000</v>
      </c>
      <c r="J486" s="545">
        <f>J487</f>
        <v>48000</v>
      </c>
      <c r="K486" s="545">
        <f>I486+J486</f>
        <v>120000</v>
      </c>
    </row>
    <row r="487" spans="1:11" s="510" customFormat="1" ht="74.25" hidden="1" customHeight="1">
      <c r="A487" s="1020" t="s">
        <v>1528</v>
      </c>
      <c r="B487" s="1022"/>
      <c r="C487" s="714" t="s">
        <v>147</v>
      </c>
      <c r="D487" s="714">
        <v>160</v>
      </c>
      <c r="E487" s="725" t="s">
        <v>1516</v>
      </c>
      <c r="F487" s="833" t="s">
        <v>2257</v>
      </c>
      <c r="G487" s="835">
        <v>8100</v>
      </c>
      <c r="H487" s="834" t="s">
        <v>2273</v>
      </c>
      <c r="I487" s="717">
        <f>K487/100*60</f>
        <v>72000</v>
      </c>
      <c r="J487" s="717">
        <f>K487/100*40</f>
        <v>48000</v>
      </c>
      <c r="K487" s="717">
        <v>120000</v>
      </c>
    </row>
    <row r="488" spans="1:11" ht="75" hidden="1" customHeight="1">
      <c r="A488" s="1011" t="s">
        <v>1541</v>
      </c>
      <c r="B488" s="1013"/>
      <c r="C488" s="709"/>
      <c r="D488" s="709"/>
      <c r="E488" s="709"/>
      <c r="F488" s="708"/>
      <c r="G488" s="709"/>
      <c r="H488" s="710"/>
      <c r="I488" s="545">
        <f>SUM(I489:I492)</f>
        <v>495863.4</v>
      </c>
      <c r="J488" s="545">
        <f>SUM(J489:J492)</f>
        <v>330575.59999999998</v>
      </c>
      <c r="K488" s="545">
        <f>I488+J488</f>
        <v>826439</v>
      </c>
    </row>
    <row r="489" spans="1:11" s="510" customFormat="1" ht="75" hidden="1" customHeight="1">
      <c r="A489" s="1020" t="s">
        <v>1529</v>
      </c>
      <c r="B489" s="1022"/>
      <c r="C489" s="714" t="s">
        <v>1534</v>
      </c>
      <c r="D489" s="714">
        <v>120</v>
      </c>
      <c r="E489" s="725" t="s">
        <v>1536</v>
      </c>
      <c r="F489" s="829" t="s">
        <v>2230</v>
      </c>
      <c r="G489" s="1047">
        <v>8100</v>
      </c>
      <c r="H489" s="1099" t="s">
        <v>2273</v>
      </c>
      <c r="I489" s="717">
        <f>K489/100*60</f>
        <v>180000</v>
      </c>
      <c r="J489" s="717">
        <f>K489/100*40</f>
        <v>120000</v>
      </c>
      <c r="K489" s="717">
        <v>300000</v>
      </c>
    </row>
    <row r="490" spans="1:11" s="510" customFormat="1" ht="74.25" hidden="1" customHeight="1">
      <c r="A490" s="1020" t="s">
        <v>1532</v>
      </c>
      <c r="B490" s="1022"/>
      <c r="C490" s="714" t="s">
        <v>1533</v>
      </c>
      <c r="D490" s="714">
        <v>200</v>
      </c>
      <c r="E490" s="725" t="s">
        <v>1535</v>
      </c>
      <c r="F490" s="1044" t="s">
        <v>2231</v>
      </c>
      <c r="G490" s="1048"/>
      <c r="H490" s="1100"/>
      <c r="I490" s="717">
        <f>K490/100*60</f>
        <v>267335.40000000002</v>
      </c>
      <c r="J490" s="717">
        <f>K490/100*40</f>
        <v>178223.6</v>
      </c>
      <c r="K490" s="717">
        <v>445559</v>
      </c>
    </row>
    <row r="491" spans="1:11" s="510" customFormat="1" ht="75" hidden="1" customHeight="1">
      <c r="A491" s="1020" t="s">
        <v>1531</v>
      </c>
      <c r="B491" s="1022"/>
      <c r="C491" s="714" t="s">
        <v>1533</v>
      </c>
      <c r="D491" s="714">
        <v>328</v>
      </c>
      <c r="E491" s="725" t="s">
        <v>1537</v>
      </c>
      <c r="F491" s="1045"/>
      <c r="G491" s="1048"/>
      <c r="H491" s="1100"/>
      <c r="I491" s="717">
        <f>K491/100*60</f>
        <v>30000</v>
      </c>
      <c r="J491" s="717">
        <f>K491/100*40</f>
        <v>20000</v>
      </c>
      <c r="K491" s="717">
        <v>50000</v>
      </c>
    </row>
    <row r="492" spans="1:11" s="510" customFormat="1" ht="75" hidden="1" customHeight="1">
      <c r="A492" s="1020" t="s">
        <v>1538</v>
      </c>
      <c r="B492" s="1022"/>
      <c r="C492" s="714" t="s">
        <v>1539</v>
      </c>
      <c r="D492" s="714">
        <v>38</v>
      </c>
      <c r="E492" s="725" t="s">
        <v>1540</v>
      </c>
      <c r="F492" s="1046"/>
      <c r="G492" s="1049"/>
      <c r="H492" s="1101"/>
      <c r="I492" s="717">
        <f>K492/100*60</f>
        <v>18528</v>
      </c>
      <c r="J492" s="717">
        <f>K492/100*40</f>
        <v>12352</v>
      </c>
      <c r="K492" s="717">
        <v>30880</v>
      </c>
    </row>
    <row r="493" spans="1:11" s="510" customFormat="1" ht="75" hidden="1" customHeight="1">
      <c r="A493" s="753"/>
      <c r="B493" s="753"/>
      <c r="C493" s="754"/>
      <c r="D493" s="754"/>
      <c r="E493" s="759"/>
      <c r="F493" s="755"/>
      <c r="G493" s="758"/>
      <c r="H493" s="756"/>
      <c r="I493" s="757"/>
      <c r="J493" s="757"/>
      <c r="K493" s="757"/>
    </row>
    <row r="494" spans="1:11" s="510" customFormat="1" ht="75" hidden="1" customHeight="1">
      <c r="A494" s="753"/>
      <c r="B494" s="753"/>
      <c r="C494" s="754"/>
      <c r="D494" s="754"/>
      <c r="E494" s="759"/>
      <c r="F494" s="755"/>
      <c r="G494" s="758"/>
      <c r="H494" s="756"/>
      <c r="I494" s="757"/>
      <c r="J494" s="757"/>
      <c r="K494" s="757"/>
    </row>
    <row r="495" spans="1:11" ht="34.5" hidden="1" customHeight="1">
      <c r="A495" s="1128" t="s">
        <v>51</v>
      </c>
      <c r="B495" s="1128"/>
      <c r="C495" s="1128"/>
      <c r="D495" s="1128"/>
      <c r="E495" s="1128"/>
      <c r="F495" s="1128"/>
      <c r="G495" s="1128"/>
      <c r="H495" s="1128"/>
      <c r="I495" s="1128"/>
      <c r="J495" s="1128"/>
      <c r="K495" s="1128"/>
    </row>
    <row r="496" spans="1:11" ht="30.75" hidden="1" customHeight="1">
      <c r="A496" s="1128" t="s">
        <v>52</v>
      </c>
      <c r="B496" s="1128"/>
      <c r="C496" s="1128"/>
      <c r="D496" s="1128"/>
      <c r="E496" s="1128"/>
      <c r="F496" s="1128"/>
      <c r="G496" s="1128"/>
      <c r="H496" s="1128"/>
      <c r="I496" s="1128"/>
      <c r="J496" s="1128"/>
      <c r="K496" s="1128"/>
    </row>
    <row r="497" spans="1:11" ht="33" hidden="1" customHeight="1">
      <c r="A497" s="1132" t="s">
        <v>50</v>
      </c>
      <c r="B497" s="1132"/>
      <c r="C497" s="1132"/>
      <c r="D497" s="1132"/>
      <c r="E497" s="1132"/>
      <c r="F497" s="1132"/>
      <c r="G497" s="1132"/>
      <c r="H497" s="1132"/>
      <c r="I497" s="1132"/>
      <c r="J497" s="1132"/>
      <c r="K497" s="1132"/>
    </row>
    <row r="498" spans="1:11" ht="33" hidden="1" customHeight="1">
      <c r="A498" s="154"/>
      <c r="B498" s="154"/>
      <c r="C498" s="154"/>
      <c r="D498" s="154"/>
      <c r="E498" s="154"/>
      <c r="F498" s="154"/>
      <c r="G498" s="707"/>
      <c r="H498" s="707"/>
      <c r="I498" s="707"/>
      <c r="J498" s="707"/>
      <c r="K498" s="707"/>
    </row>
    <row r="499" spans="1:11" ht="35.25" hidden="1">
      <c r="A499" s="1128" t="s">
        <v>1336</v>
      </c>
      <c r="B499" s="1128"/>
      <c r="C499" s="1128"/>
      <c r="D499" s="1128"/>
      <c r="E499" s="1128"/>
      <c r="F499" s="1128"/>
      <c r="G499" s="1128"/>
      <c r="H499" s="1128"/>
      <c r="I499" s="1128"/>
      <c r="J499" s="1128"/>
      <c r="K499" s="1128"/>
    </row>
    <row r="500" spans="1:11" s="620" customFormat="1" ht="33" hidden="1">
      <c r="A500" s="65"/>
      <c r="B500" s="65"/>
      <c r="C500" s="65"/>
      <c r="D500" s="65"/>
      <c r="E500" s="65"/>
      <c r="F500" s="65"/>
      <c r="G500" s="68"/>
      <c r="H500" s="68"/>
      <c r="I500" s="68"/>
      <c r="J500" s="68"/>
      <c r="K500" s="68"/>
    </row>
    <row r="501" spans="1:11" ht="20.100000000000001" hidden="1" customHeight="1">
      <c r="A501" s="65"/>
      <c r="B501" s="65"/>
      <c r="C501" s="65"/>
      <c r="D501" s="65"/>
      <c r="E501" s="65"/>
      <c r="F501" s="65"/>
      <c r="G501" s="68"/>
      <c r="H501" s="68"/>
      <c r="I501" s="68"/>
      <c r="J501" s="68"/>
      <c r="K501" s="68"/>
    </row>
    <row r="502" spans="1:11" ht="20.100000000000001" hidden="1" customHeight="1">
      <c r="A502" s="979"/>
      <c r="B502" s="979"/>
      <c r="C502" s="979"/>
      <c r="D502" s="979"/>
      <c r="E502" s="979"/>
      <c r="F502" s="979"/>
      <c r="G502" s="979"/>
      <c r="H502" s="979"/>
      <c r="I502" s="979"/>
      <c r="J502" s="979"/>
      <c r="K502" s="979"/>
    </row>
    <row r="503" spans="1:11" ht="45.75" hidden="1" customHeight="1">
      <c r="A503" s="1030" t="s">
        <v>1381</v>
      </c>
      <c r="B503" s="1030"/>
      <c r="C503" s="1030"/>
      <c r="D503" s="1030"/>
      <c r="E503" s="1030"/>
      <c r="F503" s="1030"/>
      <c r="G503" s="1030"/>
      <c r="H503" s="1030"/>
      <c r="I503" s="1030"/>
      <c r="J503" s="1030"/>
      <c r="K503" s="1030"/>
    </row>
    <row r="504" spans="1:11" ht="66" hidden="1" customHeight="1">
      <c r="A504" s="1031" t="s">
        <v>37</v>
      </c>
      <c r="B504" s="1033"/>
      <c r="C504" s="1037" t="s">
        <v>178</v>
      </c>
      <c r="D504" s="1037" t="s">
        <v>179</v>
      </c>
      <c r="E504" s="1037" t="s">
        <v>1521</v>
      </c>
      <c r="F504" s="1037" t="s">
        <v>14</v>
      </c>
      <c r="G504" s="1037" t="s">
        <v>1515</v>
      </c>
      <c r="H504" s="1037" t="s">
        <v>16</v>
      </c>
      <c r="I504" s="1039" t="s">
        <v>1490</v>
      </c>
      <c r="J504" s="1039" t="s">
        <v>2203</v>
      </c>
      <c r="K504" s="1037" t="s">
        <v>200</v>
      </c>
    </row>
    <row r="505" spans="1:11" s="500" customFormat="1" ht="30" hidden="1">
      <c r="A505" s="1034"/>
      <c r="B505" s="1036"/>
      <c r="C505" s="1038"/>
      <c r="D505" s="1038"/>
      <c r="E505" s="1038"/>
      <c r="F505" s="1038"/>
      <c r="G505" s="1038"/>
      <c r="H505" s="1038"/>
      <c r="I505" s="1039"/>
      <c r="J505" s="1039"/>
      <c r="K505" s="1038"/>
    </row>
    <row r="506" spans="1:11" s="500" customFormat="1" ht="74.25" hidden="1" customHeight="1">
      <c r="A506" s="1102" t="s">
        <v>1571</v>
      </c>
      <c r="B506" s="1103"/>
      <c r="C506" s="729"/>
      <c r="D506" s="729"/>
      <c r="E506" s="726"/>
      <c r="F506" s="727"/>
      <c r="G506" s="728"/>
      <c r="H506" s="728"/>
      <c r="I506" s="642">
        <f>I507+I509+I520+I522</f>
        <v>312034.8</v>
      </c>
      <c r="J506" s="642">
        <f>J507+J509+J520+J522</f>
        <v>208023.19999999998</v>
      </c>
      <c r="K506" s="642">
        <f>I506+J506</f>
        <v>520058</v>
      </c>
    </row>
    <row r="507" spans="1:11" s="579" customFormat="1" ht="73.5" hidden="1" customHeight="1">
      <c r="A507" s="1011" t="s">
        <v>2251</v>
      </c>
      <c r="B507" s="1012"/>
      <c r="C507" s="1012"/>
      <c r="D507" s="1012"/>
      <c r="E507" s="1012"/>
      <c r="F507" s="1013"/>
      <c r="G507" s="709"/>
      <c r="H507" s="710"/>
      <c r="I507" s="545">
        <f>I508</f>
        <v>41682</v>
      </c>
      <c r="J507" s="545">
        <f>J508</f>
        <v>27788</v>
      </c>
      <c r="K507" s="545">
        <f>I507+J507</f>
        <v>69470</v>
      </c>
    </row>
    <row r="508" spans="1:11" s="510" customFormat="1" ht="74.25" hidden="1" customHeight="1">
      <c r="A508" s="1020" t="s">
        <v>1572</v>
      </c>
      <c r="B508" s="1022"/>
      <c r="C508" s="714" t="s">
        <v>147</v>
      </c>
      <c r="D508" s="714">
        <v>324</v>
      </c>
      <c r="E508" s="725" t="s">
        <v>1573</v>
      </c>
      <c r="F508" s="833" t="s">
        <v>2258</v>
      </c>
      <c r="G508" s="835">
        <v>8100</v>
      </c>
      <c r="H508" s="834" t="s">
        <v>2273</v>
      </c>
      <c r="I508" s="717">
        <f>K508/100*60</f>
        <v>41682</v>
      </c>
      <c r="J508" s="717">
        <f>K508/100*40</f>
        <v>27788</v>
      </c>
      <c r="K508" s="717">
        <v>69470</v>
      </c>
    </row>
    <row r="509" spans="1:11" ht="75" hidden="1" customHeight="1">
      <c r="A509" s="1011" t="s">
        <v>1541</v>
      </c>
      <c r="B509" s="1013"/>
      <c r="C509" s="709"/>
      <c r="D509" s="709"/>
      <c r="E509" s="709"/>
      <c r="F509" s="708"/>
      <c r="G509" s="709"/>
      <c r="H509" s="710"/>
      <c r="I509" s="545">
        <f>SUM(I510:I519)</f>
        <v>238125.59999999998</v>
      </c>
      <c r="J509" s="545">
        <f>SUM(J510:J519)</f>
        <v>158750.39999999999</v>
      </c>
      <c r="K509" s="545">
        <f>I509+J509</f>
        <v>396876</v>
      </c>
    </row>
    <row r="510" spans="1:11" s="510" customFormat="1" ht="74.25" hidden="1" customHeight="1">
      <c r="A510" s="1020" t="s">
        <v>1574</v>
      </c>
      <c r="B510" s="1022"/>
      <c r="C510" s="714" t="s">
        <v>1550</v>
      </c>
      <c r="D510" s="714">
        <v>20</v>
      </c>
      <c r="E510" s="725" t="s">
        <v>1573</v>
      </c>
      <c r="F510" s="829" t="s">
        <v>2229</v>
      </c>
      <c r="G510" s="1047">
        <v>8100</v>
      </c>
      <c r="H510" s="1099" t="s">
        <v>2273</v>
      </c>
      <c r="I510" s="717">
        <f t="shared" ref="I510:I519" si="15">K510/100*60</f>
        <v>30600</v>
      </c>
      <c r="J510" s="717">
        <f t="shared" ref="J510:J519" si="16">K510/100*40</f>
        <v>20400</v>
      </c>
      <c r="K510" s="717">
        <v>51000</v>
      </c>
    </row>
    <row r="511" spans="1:11" s="510" customFormat="1" ht="75" hidden="1" customHeight="1">
      <c r="A511" s="1020" t="s">
        <v>1575</v>
      </c>
      <c r="B511" s="1022"/>
      <c r="C511" s="714" t="s">
        <v>1551</v>
      </c>
      <c r="D511" s="714">
        <v>60</v>
      </c>
      <c r="E511" s="725" t="s">
        <v>1581</v>
      </c>
      <c r="F511" s="829" t="s">
        <v>2230</v>
      </c>
      <c r="G511" s="1048"/>
      <c r="H511" s="1100"/>
      <c r="I511" s="717">
        <f t="shared" si="15"/>
        <v>60000</v>
      </c>
      <c r="J511" s="717">
        <f t="shared" si="16"/>
        <v>40000</v>
      </c>
      <c r="K511" s="717">
        <v>100000</v>
      </c>
    </row>
    <row r="512" spans="1:11" s="510" customFormat="1" ht="75" hidden="1" customHeight="1">
      <c r="A512" s="1020" t="s">
        <v>1576</v>
      </c>
      <c r="B512" s="1022"/>
      <c r="C512" s="714" t="s">
        <v>1584</v>
      </c>
      <c r="D512" s="744">
        <v>2000</v>
      </c>
      <c r="E512" s="725" t="s">
        <v>1582</v>
      </c>
      <c r="F512" s="1044" t="s">
        <v>2231</v>
      </c>
      <c r="G512" s="1048"/>
      <c r="H512" s="1100"/>
      <c r="I512" s="717">
        <f t="shared" si="15"/>
        <v>77226.599999999991</v>
      </c>
      <c r="J512" s="717">
        <f t="shared" si="16"/>
        <v>51484.399999999994</v>
      </c>
      <c r="K512" s="717">
        <v>128711</v>
      </c>
    </row>
    <row r="513" spans="1:11" s="510" customFormat="1" ht="75" hidden="1" customHeight="1">
      <c r="A513" s="1020" t="s">
        <v>1577</v>
      </c>
      <c r="B513" s="1022"/>
      <c r="C513" s="714" t="s">
        <v>1584</v>
      </c>
      <c r="D513" s="714">
        <v>500</v>
      </c>
      <c r="E513" s="725" t="s">
        <v>1582</v>
      </c>
      <c r="F513" s="1045"/>
      <c r="G513" s="1048"/>
      <c r="H513" s="1100"/>
      <c r="I513" s="717">
        <f t="shared" si="15"/>
        <v>7200</v>
      </c>
      <c r="J513" s="717">
        <f t="shared" si="16"/>
        <v>4800</v>
      </c>
      <c r="K513" s="717">
        <v>12000</v>
      </c>
    </row>
    <row r="514" spans="1:11" s="510" customFormat="1" ht="75" hidden="1" customHeight="1">
      <c r="A514" s="1020" t="s">
        <v>1578</v>
      </c>
      <c r="B514" s="1022"/>
      <c r="C514" s="714" t="s">
        <v>1551</v>
      </c>
      <c r="D514" s="714">
        <v>45</v>
      </c>
      <c r="E514" s="725" t="s">
        <v>1582</v>
      </c>
      <c r="F514" s="1045"/>
      <c r="G514" s="1048"/>
      <c r="H514" s="1100"/>
      <c r="I514" s="717">
        <f t="shared" si="15"/>
        <v>24000</v>
      </c>
      <c r="J514" s="717">
        <f t="shared" si="16"/>
        <v>16000</v>
      </c>
      <c r="K514" s="717">
        <v>40000</v>
      </c>
    </row>
    <row r="515" spans="1:11" s="510" customFormat="1" ht="75" hidden="1" customHeight="1">
      <c r="A515" s="1020" t="s">
        <v>1579</v>
      </c>
      <c r="B515" s="1022"/>
      <c r="C515" s="714" t="s">
        <v>1551</v>
      </c>
      <c r="D515" s="714">
        <v>25</v>
      </c>
      <c r="E515" s="725" t="s">
        <v>1582</v>
      </c>
      <c r="F515" s="1045"/>
      <c r="G515" s="1048"/>
      <c r="H515" s="1100"/>
      <c r="I515" s="717">
        <f t="shared" si="15"/>
        <v>5400</v>
      </c>
      <c r="J515" s="717">
        <f t="shared" si="16"/>
        <v>3600</v>
      </c>
      <c r="K515" s="717">
        <v>9000</v>
      </c>
    </row>
    <row r="516" spans="1:11" s="510" customFormat="1" ht="75" hidden="1" customHeight="1">
      <c r="A516" s="1020" t="s">
        <v>1580</v>
      </c>
      <c r="B516" s="1022"/>
      <c r="C516" s="714" t="s">
        <v>1585</v>
      </c>
      <c r="D516" s="714">
        <v>16</v>
      </c>
      <c r="E516" s="725" t="s">
        <v>1583</v>
      </c>
      <c r="F516" s="1045"/>
      <c r="G516" s="1048"/>
      <c r="H516" s="1100"/>
      <c r="I516" s="717">
        <f t="shared" si="15"/>
        <v>4800</v>
      </c>
      <c r="J516" s="717">
        <f t="shared" si="16"/>
        <v>3200</v>
      </c>
      <c r="K516" s="717">
        <v>8000</v>
      </c>
    </row>
    <row r="517" spans="1:11" s="510" customFormat="1" ht="75" hidden="1" customHeight="1">
      <c r="A517" s="1020" t="s">
        <v>1587</v>
      </c>
      <c r="B517" s="1022"/>
      <c r="C517" s="714" t="s">
        <v>1591</v>
      </c>
      <c r="D517" s="716">
        <v>0.5</v>
      </c>
      <c r="E517" s="725" t="s">
        <v>1582</v>
      </c>
      <c r="F517" s="1045"/>
      <c r="G517" s="1048"/>
      <c r="H517" s="1100"/>
      <c r="I517" s="717">
        <f t="shared" si="15"/>
        <v>9000</v>
      </c>
      <c r="J517" s="717">
        <f t="shared" si="16"/>
        <v>6000</v>
      </c>
      <c r="K517" s="717">
        <v>15000</v>
      </c>
    </row>
    <row r="518" spans="1:11" s="510" customFormat="1" ht="75" hidden="1" customHeight="1">
      <c r="A518" s="1020" t="s">
        <v>1588</v>
      </c>
      <c r="B518" s="1022"/>
      <c r="C518" s="714" t="s">
        <v>1593</v>
      </c>
      <c r="D518" s="714">
        <v>1</v>
      </c>
      <c r="E518" s="725" t="s">
        <v>1592</v>
      </c>
      <c r="F518" s="1045"/>
      <c r="G518" s="1048"/>
      <c r="H518" s="1100"/>
      <c r="I518" s="717">
        <f t="shared" si="15"/>
        <v>5400</v>
      </c>
      <c r="J518" s="717">
        <f t="shared" si="16"/>
        <v>3600</v>
      </c>
      <c r="K518" s="717">
        <v>9000</v>
      </c>
    </row>
    <row r="519" spans="1:11" s="510" customFormat="1" ht="75" hidden="1" customHeight="1">
      <c r="A519" s="1020" t="s">
        <v>1590</v>
      </c>
      <c r="B519" s="1022"/>
      <c r="C519" s="714" t="s">
        <v>1584</v>
      </c>
      <c r="D519" s="744">
        <v>1000</v>
      </c>
      <c r="E519" s="725" t="s">
        <v>1582</v>
      </c>
      <c r="F519" s="1046"/>
      <c r="G519" s="1049"/>
      <c r="H519" s="1101"/>
      <c r="I519" s="717">
        <f t="shared" si="15"/>
        <v>14499</v>
      </c>
      <c r="J519" s="717">
        <f t="shared" si="16"/>
        <v>9666</v>
      </c>
      <c r="K519" s="717">
        <v>24165</v>
      </c>
    </row>
    <row r="520" spans="1:11" ht="74.25" hidden="1" customHeight="1">
      <c r="A520" s="1011" t="s">
        <v>278</v>
      </c>
      <c r="B520" s="1013"/>
      <c r="C520" s="504"/>
      <c r="D520" s="709"/>
      <c r="E520" s="709"/>
      <c r="F520" s="708"/>
      <c r="G520" s="709"/>
      <c r="H520" s="710"/>
      <c r="I520" s="545">
        <f>SUM(I521)</f>
        <v>9600</v>
      </c>
      <c r="J520" s="545">
        <f>SUM(J521)</f>
        <v>6400</v>
      </c>
      <c r="K520" s="545">
        <f>I520+J520</f>
        <v>16000</v>
      </c>
    </row>
    <row r="521" spans="1:11" s="510" customFormat="1" ht="74.25" hidden="1" customHeight="1">
      <c r="A521" s="1020" t="s">
        <v>1595</v>
      </c>
      <c r="B521" s="1022"/>
      <c r="C521" s="714" t="s">
        <v>18</v>
      </c>
      <c r="D521" s="714">
        <v>15</v>
      </c>
      <c r="E521" s="725" t="s">
        <v>1596</v>
      </c>
      <c r="F521" s="833" t="s">
        <v>2234</v>
      </c>
      <c r="G521" s="835">
        <v>8100</v>
      </c>
      <c r="H521" s="834" t="s">
        <v>2445</v>
      </c>
      <c r="I521" s="717">
        <f>K521/100*60</f>
        <v>9600</v>
      </c>
      <c r="J521" s="717">
        <f>K521/100*40</f>
        <v>6400</v>
      </c>
      <c r="K521" s="717">
        <v>16000</v>
      </c>
    </row>
    <row r="522" spans="1:11" ht="73.5" hidden="1" customHeight="1">
      <c r="A522" s="1011" t="s">
        <v>312</v>
      </c>
      <c r="B522" s="1013"/>
      <c r="C522" s="709"/>
      <c r="D522" s="709"/>
      <c r="E522" s="709"/>
      <c r="F522" s="708"/>
      <c r="G522" s="709"/>
      <c r="H522" s="710"/>
      <c r="I522" s="545">
        <f>SUM(I523:I526)</f>
        <v>22627.200000000001</v>
      </c>
      <c r="J522" s="545">
        <f>SUM(J523:J526)</f>
        <v>15084.8</v>
      </c>
      <c r="K522" s="545">
        <f>I522+J522</f>
        <v>37712</v>
      </c>
    </row>
    <row r="523" spans="1:11" s="510" customFormat="1" ht="74.25" hidden="1" customHeight="1">
      <c r="A523" s="1020" t="s">
        <v>1589</v>
      </c>
      <c r="B523" s="1022"/>
      <c r="C523" s="714" t="s">
        <v>1594</v>
      </c>
      <c r="D523" s="714">
        <v>1</v>
      </c>
      <c r="E523" s="725" t="s">
        <v>1583</v>
      </c>
      <c r="F523" s="1044" t="s">
        <v>2224</v>
      </c>
      <c r="G523" s="1047">
        <v>8100</v>
      </c>
      <c r="H523" s="1099" t="s">
        <v>2273</v>
      </c>
      <c r="I523" s="717">
        <f>K523/100*60</f>
        <v>4200</v>
      </c>
      <c r="J523" s="717">
        <f>K523/100*40</f>
        <v>2800</v>
      </c>
      <c r="K523" s="717">
        <v>7000</v>
      </c>
    </row>
    <row r="524" spans="1:11" s="510" customFormat="1" ht="74.25" hidden="1" customHeight="1">
      <c r="A524" s="1020" t="s">
        <v>1597</v>
      </c>
      <c r="B524" s="1022"/>
      <c r="C524" s="714" t="s">
        <v>1600</v>
      </c>
      <c r="D524" s="714">
        <v>18</v>
      </c>
      <c r="E524" s="725" t="s">
        <v>1582</v>
      </c>
      <c r="F524" s="1045"/>
      <c r="G524" s="1048"/>
      <c r="H524" s="1100"/>
      <c r="I524" s="717">
        <f>K524/100*60</f>
        <v>4800</v>
      </c>
      <c r="J524" s="717">
        <f>K524/100*40</f>
        <v>3200</v>
      </c>
      <c r="K524" s="717">
        <v>8000</v>
      </c>
    </row>
    <row r="525" spans="1:11" s="510" customFormat="1" ht="74.25" hidden="1" customHeight="1">
      <c r="A525" s="1020" t="s">
        <v>1598</v>
      </c>
      <c r="B525" s="1022"/>
      <c r="C525" s="714" t="s">
        <v>1601</v>
      </c>
      <c r="D525" s="714">
        <v>5</v>
      </c>
      <c r="E525" s="725" t="s">
        <v>1582</v>
      </c>
      <c r="F525" s="1045"/>
      <c r="G525" s="1048"/>
      <c r="H525" s="1100"/>
      <c r="I525" s="717">
        <f>K525/100*60</f>
        <v>8400</v>
      </c>
      <c r="J525" s="717">
        <f>K525/100*40</f>
        <v>5600</v>
      </c>
      <c r="K525" s="717">
        <v>14000</v>
      </c>
    </row>
    <row r="526" spans="1:11" s="510" customFormat="1" ht="74.25" hidden="1" customHeight="1">
      <c r="A526" s="1020" t="s">
        <v>1599</v>
      </c>
      <c r="B526" s="1022"/>
      <c r="C526" s="714" t="s">
        <v>1601</v>
      </c>
      <c r="D526" s="714">
        <v>3</v>
      </c>
      <c r="E526" s="725" t="s">
        <v>1583</v>
      </c>
      <c r="F526" s="1046"/>
      <c r="G526" s="1049"/>
      <c r="H526" s="1101"/>
      <c r="I526" s="717">
        <f>K526/100*60</f>
        <v>5227.2000000000007</v>
      </c>
      <c r="J526" s="717">
        <f>K526/100*40</f>
        <v>3484.8</v>
      </c>
      <c r="K526" s="717">
        <v>8712</v>
      </c>
    </row>
    <row r="527" spans="1:11" s="510" customFormat="1" ht="74.25" hidden="1" customHeight="1">
      <c r="A527" s="753"/>
      <c r="B527" s="753"/>
      <c r="C527" s="754"/>
      <c r="D527" s="754"/>
      <c r="E527" s="759"/>
      <c r="F527" s="755"/>
      <c r="G527" s="758"/>
      <c r="H527" s="756"/>
      <c r="I527" s="757"/>
      <c r="J527" s="757"/>
      <c r="K527" s="757"/>
    </row>
    <row r="528" spans="1:11" s="510" customFormat="1" ht="74.25" hidden="1" customHeight="1">
      <c r="A528" s="753"/>
      <c r="B528" s="753"/>
      <c r="C528" s="754"/>
      <c r="D528" s="754"/>
      <c r="E528" s="759"/>
      <c r="F528" s="755"/>
      <c r="G528" s="758"/>
      <c r="H528" s="756"/>
      <c r="I528" s="757"/>
      <c r="J528" s="757"/>
      <c r="K528" s="757"/>
    </row>
    <row r="529" spans="1:11" s="510" customFormat="1" ht="74.25" hidden="1" customHeight="1">
      <c r="A529" s="753"/>
      <c r="B529" s="753"/>
      <c r="C529" s="754"/>
      <c r="D529" s="754"/>
      <c r="E529" s="759"/>
      <c r="F529" s="755"/>
      <c r="G529" s="758"/>
      <c r="H529" s="756"/>
      <c r="I529" s="757"/>
      <c r="J529" s="757"/>
      <c r="K529" s="757"/>
    </row>
    <row r="530" spans="1:11" s="510" customFormat="1" ht="74.25" hidden="1" customHeight="1">
      <c r="A530" s="753"/>
      <c r="B530" s="753"/>
      <c r="C530" s="754"/>
      <c r="D530" s="754"/>
      <c r="E530" s="759"/>
      <c r="F530" s="755"/>
      <c r="G530" s="758"/>
      <c r="H530" s="756"/>
      <c r="I530" s="757"/>
      <c r="J530" s="757"/>
      <c r="K530" s="757"/>
    </row>
    <row r="531" spans="1:11" s="510" customFormat="1" ht="74.25" hidden="1" customHeight="1">
      <c r="A531" s="753"/>
      <c r="B531" s="753"/>
      <c r="C531" s="754"/>
      <c r="D531" s="754"/>
      <c r="E531" s="759"/>
      <c r="F531" s="755"/>
      <c r="G531" s="758"/>
      <c r="H531" s="756"/>
      <c r="I531" s="757"/>
      <c r="J531" s="757"/>
      <c r="K531" s="757"/>
    </row>
    <row r="532" spans="1:11" s="510" customFormat="1" ht="74.25" hidden="1" customHeight="1">
      <c r="A532" s="753"/>
      <c r="B532" s="753"/>
      <c r="C532" s="754"/>
      <c r="D532" s="754"/>
      <c r="E532" s="759"/>
      <c r="F532" s="755"/>
      <c r="G532" s="758"/>
      <c r="H532" s="756"/>
      <c r="I532" s="757"/>
      <c r="J532" s="757"/>
      <c r="K532" s="757"/>
    </row>
    <row r="533" spans="1:11" s="510" customFormat="1" ht="74.25" hidden="1" customHeight="1">
      <c r="A533" s="753"/>
      <c r="B533" s="753"/>
      <c r="C533" s="754"/>
      <c r="D533" s="754"/>
      <c r="E533" s="759"/>
      <c r="F533" s="755"/>
      <c r="G533" s="758"/>
      <c r="H533" s="756"/>
      <c r="I533" s="757"/>
      <c r="J533" s="757"/>
      <c r="K533" s="757"/>
    </row>
    <row r="534" spans="1:11" s="510" customFormat="1" ht="74.25" hidden="1" customHeight="1">
      <c r="A534" s="753"/>
      <c r="B534" s="753"/>
      <c r="C534" s="754"/>
      <c r="D534" s="754"/>
      <c r="E534" s="759"/>
      <c r="F534" s="755"/>
      <c r="G534" s="758"/>
      <c r="H534" s="756"/>
      <c r="I534" s="757"/>
      <c r="J534" s="757"/>
      <c r="K534" s="757"/>
    </row>
    <row r="535" spans="1:11" s="510" customFormat="1" ht="74.25" hidden="1" customHeight="1">
      <c r="A535" s="753"/>
      <c r="B535" s="753"/>
      <c r="C535" s="754"/>
      <c r="D535" s="754"/>
      <c r="E535" s="759"/>
      <c r="F535" s="755"/>
      <c r="G535" s="758"/>
      <c r="H535" s="756"/>
      <c r="I535" s="757"/>
      <c r="J535" s="757"/>
      <c r="K535" s="757"/>
    </row>
    <row r="536" spans="1:11" s="510" customFormat="1" ht="74.25" hidden="1" customHeight="1">
      <c r="A536" s="753"/>
      <c r="B536" s="753"/>
      <c r="C536" s="754"/>
      <c r="D536" s="754"/>
      <c r="E536" s="759"/>
      <c r="F536" s="755"/>
      <c r="G536" s="758"/>
      <c r="H536" s="756"/>
      <c r="I536" s="757"/>
      <c r="J536" s="757"/>
      <c r="K536" s="757"/>
    </row>
    <row r="537" spans="1:11" s="510" customFormat="1" ht="74.25" hidden="1" customHeight="1">
      <c r="A537" s="753"/>
      <c r="B537" s="753"/>
      <c r="C537" s="754"/>
      <c r="D537" s="754"/>
      <c r="E537" s="759"/>
      <c r="F537" s="755"/>
      <c r="G537" s="758"/>
      <c r="H537" s="756"/>
      <c r="I537" s="757"/>
      <c r="J537" s="757"/>
      <c r="K537" s="757"/>
    </row>
    <row r="538" spans="1:11" ht="34.5" hidden="1" customHeight="1">
      <c r="A538" s="1128" t="s">
        <v>51</v>
      </c>
      <c r="B538" s="1128"/>
      <c r="C538" s="1128"/>
      <c r="D538" s="1128"/>
      <c r="E538" s="1128"/>
      <c r="F538" s="1128"/>
      <c r="G538" s="1128"/>
      <c r="H538" s="1128"/>
      <c r="I538" s="1128"/>
      <c r="J538" s="1128"/>
      <c r="K538" s="1128"/>
    </row>
    <row r="539" spans="1:11" ht="30.75" hidden="1" customHeight="1">
      <c r="A539" s="1128" t="s">
        <v>52</v>
      </c>
      <c r="B539" s="1128"/>
      <c r="C539" s="1128"/>
      <c r="D539" s="1128"/>
      <c r="E539" s="1128"/>
      <c r="F539" s="1128"/>
      <c r="G539" s="1128"/>
      <c r="H539" s="1128"/>
      <c r="I539" s="1128"/>
      <c r="J539" s="1128"/>
      <c r="K539" s="1128"/>
    </row>
    <row r="540" spans="1:11" ht="33" hidden="1" customHeight="1">
      <c r="A540" s="1132" t="s">
        <v>50</v>
      </c>
      <c r="B540" s="1132"/>
      <c r="C540" s="1132"/>
      <c r="D540" s="1132"/>
      <c r="E540" s="1132"/>
      <c r="F540" s="1132"/>
      <c r="G540" s="1132"/>
      <c r="H540" s="1132"/>
      <c r="I540" s="1132"/>
      <c r="J540" s="1132"/>
      <c r="K540" s="1132"/>
    </row>
    <row r="541" spans="1:11" ht="33" hidden="1" customHeight="1">
      <c r="A541" s="154"/>
      <c r="B541" s="154"/>
      <c r="C541" s="154"/>
      <c r="D541" s="154"/>
      <c r="E541" s="154"/>
      <c r="F541" s="154"/>
      <c r="G541" s="707"/>
      <c r="H541" s="707"/>
      <c r="I541" s="707"/>
      <c r="J541" s="707"/>
      <c r="K541" s="707"/>
    </row>
    <row r="542" spans="1:11" ht="35.25" hidden="1">
      <c r="A542" s="1128" t="s">
        <v>1336</v>
      </c>
      <c r="B542" s="1128"/>
      <c r="C542" s="1128"/>
      <c r="D542" s="1128"/>
      <c r="E542" s="1128"/>
      <c r="F542" s="1128"/>
      <c r="G542" s="1128"/>
      <c r="H542" s="1128"/>
      <c r="I542" s="1128"/>
      <c r="J542" s="1128"/>
      <c r="K542" s="1128"/>
    </row>
    <row r="543" spans="1:11" s="620" customFormat="1" ht="33" hidden="1">
      <c r="A543" s="65"/>
      <c r="B543" s="65"/>
      <c r="C543" s="65"/>
      <c r="D543" s="65"/>
      <c r="E543" s="65"/>
      <c r="F543" s="65"/>
      <c r="G543" s="68"/>
      <c r="H543" s="68"/>
      <c r="I543" s="68"/>
      <c r="J543" s="68"/>
      <c r="K543" s="68"/>
    </row>
    <row r="544" spans="1:11" ht="20.100000000000001" hidden="1" customHeight="1">
      <c r="A544" s="65"/>
      <c r="B544" s="65"/>
      <c r="C544" s="65"/>
      <c r="D544" s="65"/>
      <c r="E544" s="65"/>
      <c r="F544" s="65"/>
      <c r="G544" s="68"/>
      <c r="H544" s="68"/>
      <c r="I544" s="68"/>
      <c r="J544" s="68"/>
      <c r="K544" s="68"/>
    </row>
    <row r="545" spans="1:11" ht="20.100000000000001" hidden="1" customHeight="1">
      <c r="A545" s="979"/>
      <c r="B545" s="979"/>
      <c r="C545" s="979"/>
      <c r="D545" s="979"/>
      <c r="E545" s="979"/>
      <c r="F545" s="979"/>
      <c r="G545" s="979"/>
      <c r="H545" s="979"/>
      <c r="I545" s="979"/>
      <c r="J545" s="979"/>
      <c r="K545" s="979"/>
    </row>
    <row r="546" spans="1:11" ht="45.75" hidden="1" customHeight="1">
      <c r="A546" s="1030" t="s">
        <v>1381</v>
      </c>
      <c r="B546" s="1030"/>
      <c r="C546" s="1030"/>
      <c r="D546" s="1030"/>
      <c r="E546" s="1030"/>
      <c r="F546" s="1030"/>
      <c r="G546" s="1030"/>
      <c r="H546" s="1030"/>
      <c r="I546" s="1030"/>
      <c r="J546" s="1030"/>
      <c r="K546" s="1030"/>
    </row>
    <row r="547" spans="1:11" ht="66" hidden="1" customHeight="1">
      <c r="A547" s="1031" t="s">
        <v>37</v>
      </c>
      <c r="B547" s="1033"/>
      <c r="C547" s="1037" t="s">
        <v>178</v>
      </c>
      <c r="D547" s="1037" t="s">
        <v>179</v>
      </c>
      <c r="E547" s="1037" t="s">
        <v>1521</v>
      </c>
      <c r="F547" s="1037" t="s">
        <v>14</v>
      </c>
      <c r="G547" s="1037" t="s">
        <v>1515</v>
      </c>
      <c r="H547" s="1037" t="s">
        <v>16</v>
      </c>
      <c r="I547" s="1039" t="s">
        <v>1490</v>
      </c>
      <c r="J547" s="1039" t="s">
        <v>2203</v>
      </c>
      <c r="K547" s="1037" t="s">
        <v>200</v>
      </c>
    </row>
    <row r="548" spans="1:11" s="500" customFormat="1" ht="30" hidden="1">
      <c r="A548" s="1034"/>
      <c r="B548" s="1036"/>
      <c r="C548" s="1038"/>
      <c r="D548" s="1038"/>
      <c r="E548" s="1038"/>
      <c r="F548" s="1038"/>
      <c r="G548" s="1038"/>
      <c r="H548" s="1038"/>
      <c r="I548" s="1039"/>
      <c r="J548" s="1039"/>
      <c r="K548" s="1038"/>
    </row>
    <row r="549" spans="1:11" s="500" customFormat="1" ht="74.25" hidden="1" customHeight="1">
      <c r="A549" s="1102" t="s">
        <v>1564</v>
      </c>
      <c r="B549" s="1103"/>
      <c r="C549" s="729"/>
      <c r="D549" s="729"/>
      <c r="E549" s="726"/>
      <c r="F549" s="727"/>
      <c r="G549" s="728"/>
      <c r="H549" s="728"/>
      <c r="I549" s="642">
        <f>I550+I554</f>
        <v>260177.4</v>
      </c>
      <c r="J549" s="642">
        <f>J550+J554</f>
        <v>173451.6</v>
      </c>
      <c r="K549" s="642">
        <f>I549+J549</f>
        <v>433629</v>
      </c>
    </row>
    <row r="550" spans="1:11" ht="75" hidden="1" customHeight="1">
      <c r="A550" s="1011" t="s">
        <v>1541</v>
      </c>
      <c r="B550" s="1013"/>
      <c r="C550" s="709"/>
      <c r="D550" s="709"/>
      <c r="E550" s="709"/>
      <c r="F550" s="708"/>
      <c r="G550" s="709"/>
      <c r="H550" s="710"/>
      <c r="I550" s="545">
        <f>SUM(I551:I553)</f>
        <v>236177.4</v>
      </c>
      <c r="J550" s="545">
        <f>SUM(J551:J553)</f>
        <v>157451.6</v>
      </c>
      <c r="K550" s="545">
        <f>I550+J550</f>
        <v>393629</v>
      </c>
    </row>
    <row r="551" spans="1:11" s="510" customFormat="1" ht="74.25" hidden="1" customHeight="1">
      <c r="A551" s="1020" t="s">
        <v>1566</v>
      </c>
      <c r="B551" s="1022"/>
      <c r="C551" s="714" t="s">
        <v>1544</v>
      </c>
      <c r="D551" s="714"/>
      <c r="E551" s="714" t="s">
        <v>1544</v>
      </c>
      <c r="F551" s="829" t="s">
        <v>2229</v>
      </c>
      <c r="G551" s="1047">
        <v>8100</v>
      </c>
      <c r="H551" s="1099" t="s">
        <v>2273</v>
      </c>
      <c r="I551" s="717">
        <f>K551/100*60</f>
        <v>46800</v>
      </c>
      <c r="J551" s="717">
        <f>K551/100*40</f>
        <v>31200</v>
      </c>
      <c r="K551" s="717">
        <v>78000</v>
      </c>
    </row>
    <row r="552" spans="1:11" s="510" customFormat="1" ht="75" hidden="1" customHeight="1">
      <c r="A552" s="1020" t="s">
        <v>1546</v>
      </c>
      <c r="B552" s="1022"/>
      <c r="C552" s="714" t="s">
        <v>1544</v>
      </c>
      <c r="D552" s="714"/>
      <c r="E552" s="714" t="s">
        <v>1544</v>
      </c>
      <c r="F552" s="829" t="s">
        <v>2230</v>
      </c>
      <c r="G552" s="1048"/>
      <c r="H552" s="1100"/>
      <c r="I552" s="717">
        <f>K552/100*60</f>
        <v>34800</v>
      </c>
      <c r="J552" s="717">
        <f>K552/100*40</f>
        <v>23200</v>
      </c>
      <c r="K552" s="717">
        <v>58000</v>
      </c>
    </row>
    <row r="553" spans="1:11" s="510" customFormat="1" ht="75" hidden="1" customHeight="1">
      <c r="A553" s="1020" t="s">
        <v>1568</v>
      </c>
      <c r="B553" s="1022"/>
      <c r="C553" s="714" t="s">
        <v>1544</v>
      </c>
      <c r="D553" s="714"/>
      <c r="E553" s="714" t="s">
        <v>1544</v>
      </c>
      <c r="F553" s="829" t="s">
        <v>2231</v>
      </c>
      <c r="G553" s="1048"/>
      <c r="H553" s="1100"/>
      <c r="I553" s="717">
        <f>K553/100*60</f>
        <v>154577.4</v>
      </c>
      <c r="J553" s="717">
        <f>K553/100*40</f>
        <v>103051.6</v>
      </c>
      <c r="K553" s="717">
        <v>257629</v>
      </c>
    </row>
    <row r="554" spans="1:11" ht="73.5" hidden="1" customHeight="1">
      <c r="A554" s="1011" t="s">
        <v>312</v>
      </c>
      <c r="B554" s="1013"/>
      <c r="C554" s="709"/>
      <c r="D554" s="709"/>
      <c r="E554" s="709"/>
      <c r="F554" s="708"/>
      <c r="G554" s="709"/>
      <c r="H554" s="710"/>
      <c r="I554" s="545">
        <f>SUM(I555:I555)</f>
        <v>24000</v>
      </c>
      <c r="J554" s="545">
        <f>SUM(J555:J555)</f>
        <v>16000</v>
      </c>
      <c r="K554" s="545">
        <f>SUM(K555:K555)</f>
        <v>40000</v>
      </c>
    </row>
    <row r="555" spans="1:11" s="510" customFormat="1" ht="74.25" hidden="1" customHeight="1">
      <c r="A555" s="1020" t="s">
        <v>1567</v>
      </c>
      <c r="B555" s="1022"/>
      <c r="C555" s="714" t="s">
        <v>1544</v>
      </c>
      <c r="D555" s="714"/>
      <c r="E555" s="714" t="s">
        <v>1544</v>
      </c>
      <c r="F555" s="833" t="s">
        <v>2224</v>
      </c>
      <c r="G555" s="835">
        <v>8100</v>
      </c>
      <c r="H555" s="834" t="s">
        <v>2273</v>
      </c>
      <c r="I555" s="717">
        <f>K555/100*60</f>
        <v>24000</v>
      </c>
      <c r="J555" s="717">
        <f>K555/100*40</f>
        <v>16000</v>
      </c>
      <c r="K555" s="717">
        <v>40000</v>
      </c>
    </row>
    <row r="556" spans="1:11" s="743" customFormat="1" ht="36.75" hidden="1" customHeight="1">
      <c r="A556" s="1135"/>
      <c r="B556" s="1136"/>
      <c r="C556" s="738"/>
      <c r="D556" s="738"/>
      <c r="E556" s="739"/>
      <c r="F556" s="740"/>
      <c r="G556" s="741"/>
      <c r="H556" s="741"/>
      <c r="I556" s="742"/>
      <c r="J556" s="742"/>
      <c r="K556" s="742"/>
    </row>
    <row r="557" spans="1:11" ht="66" hidden="1" customHeight="1">
      <c r="A557" s="1031" t="s">
        <v>37</v>
      </c>
      <c r="B557" s="1033"/>
      <c r="C557" s="1037" t="s">
        <v>178</v>
      </c>
      <c r="D557" s="1037" t="s">
        <v>179</v>
      </c>
      <c r="E557" s="1037" t="s">
        <v>1521</v>
      </c>
      <c r="F557" s="1037" t="s">
        <v>14</v>
      </c>
      <c r="G557" s="1037" t="s">
        <v>1515</v>
      </c>
      <c r="H557" s="1037" t="s">
        <v>16</v>
      </c>
      <c r="I557" s="1039" t="s">
        <v>1490</v>
      </c>
      <c r="J557" s="1039" t="s">
        <v>2203</v>
      </c>
      <c r="K557" s="1037" t="s">
        <v>200</v>
      </c>
    </row>
    <row r="558" spans="1:11" s="500" customFormat="1" ht="30" hidden="1">
      <c r="A558" s="1034"/>
      <c r="B558" s="1036"/>
      <c r="C558" s="1038"/>
      <c r="D558" s="1038"/>
      <c r="E558" s="1038"/>
      <c r="F558" s="1038"/>
      <c r="G558" s="1038"/>
      <c r="H558" s="1038"/>
      <c r="I558" s="1039"/>
      <c r="J558" s="1039"/>
      <c r="K558" s="1038"/>
    </row>
    <row r="559" spans="1:11" s="500" customFormat="1" ht="74.25" hidden="1" customHeight="1">
      <c r="A559" s="1102" t="s">
        <v>1710</v>
      </c>
      <c r="B559" s="1103"/>
      <c r="C559" s="729"/>
      <c r="D559" s="729"/>
      <c r="E559" s="726"/>
      <c r="F559" s="727"/>
      <c r="G559" s="728"/>
      <c r="H559" s="728"/>
      <c r="I559" s="642">
        <f>I560</f>
        <v>167322.6</v>
      </c>
      <c r="J559" s="642">
        <f>J560</f>
        <v>111548.4</v>
      </c>
      <c r="K559" s="642">
        <f>I559+J559</f>
        <v>278871</v>
      </c>
    </row>
    <row r="560" spans="1:11" ht="75" hidden="1" customHeight="1">
      <c r="A560" s="1011" t="s">
        <v>1541</v>
      </c>
      <c r="B560" s="1013"/>
      <c r="C560" s="709"/>
      <c r="D560" s="709"/>
      <c r="E560" s="709"/>
      <c r="F560" s="708"/>
      <c r="G560" s="709"/>
      <c r="H560" s="710"/>
      <c r="I560" s="545">
        <f>SUM(I561:I568)</f>
        <v>167322.6</v>
      </c>
      <c r="J560" s="545">
        <f>SUM(J561:J568)</f>
        <v>111548.4</v>
      </c>
      <c r="K560" s="545">
        <f>I560+J560</f>
        <v>278871</v>
      </c>
    </row>
    <row r="561" spans="1:11" s="510" customFormat="1" ht="74.25" hidden="1" customHeight="1">
      <c r="A561" s="1020" t="s">
        <v>1761</v>
      </c>
      <c r="B561" s="1022"/>
      <c r="C561" s="714" t="s">
        <v>1712</v>
      </c>
      <c r="D561" s="714">
        <v>10</v>
      </c>
      <c r="E561" s="714" t="s">
        <v>1713</v>
      </c>
      <c r="F561" s="1044" t="s">
        <v>2229</v>
      </c>
      <c r="G561" s="1047">
        <v>8100</v>
      </c>
      <c r="H561" s="1099" t="s">
        <v>2273</v>
      </c>
      <c r="I561" s="717">
        <f t="shared" ref="I561:I568" si="17">K561/100*60</f>
        <v>18000</v>
      </c>
      <c r="J561" s="717">
        <f t="shared" ref="J561:J568" si="18">K561/100*40</f>
        <v>12000</v>
      </c>
      <c r="K561" s="717">
        <v>30000</v>
      </c>
    </row>
    <row r="562" spans="1:11" s="510" customFormat="1" ht="74.25" hidden="1" customHeight="1">
      <c r="A562" s="1020" t="s">
        <v>1762</v>
      </c>
      <c r="B562" s="1022"/>
      <c r="C562" s="714" t="s">
        <v>1714</v>
      </c>
      <c r="D562" s="714">
        <v>10</v>
      </c>
      <c r="E562" s="714" t="s">
        <v>1715</v>
      </c>
      <c r="F562" s="1045"/>
      <c r="G562" s="1048"/>
      <c r="H562" s="1100"/>
      <c r="I562" s="717">
        <f t="shared" si="17"/>
        <v>18000</v>
      </c>
      <c r="J562" s="717">
        <f t="shared" si="18"/>
        <v>12000</v>
      </c>
      <c r="K562" s="717">
        <v>30000</v>
      </c>
    </row>
    <row r="563" spans="1:11" s="510" customFormat="1" ht="74.25" hidden="1" customHeight="1">
      <c r="A563" s="1020" t="s">
        <v>1763</v>
      </c>
      <c r="B563" s="1022"/>
      <c r="C563" s="714" t="s">
        <v>1716</v>
      </c>
      <c r="D563" s="714">
        <v>15</v>
      </c>
      <c r="E563" s="714" t="s">
        <v>1717</v>
      </c>
      <c r="F563" s="1045"/>
      <c r="G563" s="1048"/>
      <c r="H563" s="1100"/>
      <c r="I563" s="717">
        <f t="shared" si="17"/>
        <v>14400</v>
      </c>
      <c r="J563" s="717">
        <f t="shared" si="18"/>
        <v>9600</v>
      </c>
      <c r="K563" s="717">
        <v>24000</v>
      </c>
    </row>
    <row r="564" spans="1:11" s="510" customFormat="1" ht="74.25" hidden="1" customHeight="1">
      <c r="A564" s="1020" t="s">
        <v>1764</v>
      </c>
      <c r="B564" s="1022"/>
      <c r="C564" s="714" t="s">
        <v>1718</v>
      </c>
      <c r="D564" s="714">
        <v>30</v>
      </c>
      <c r="E564" s="714" t="s">
        <v>1719</v>
      </c>
      <c r="F564" s="833" t="s">
        <v>2236</v>
      </c>
      <c r="G564" s="1049"/>
      <c r="H564" s="1101"/>
      <c r="I564" s="717">
        <f t="shared" si="17"/>
        <v>6000</v>
      </c>
      <c r="J564" s="717">
        <f t="shared" si="18"/>
        <v>4000</v>
      </c>
      <c r="K564" s="717">
        <v>10000</v>
      </c>
    </row>
    <row r="565" spans="1:11" s="510" customFormat="1" ht="74.25" hidden="1" customHeight="1">
      <c r="A565" s="1020" t="s">
        <v>1765</v>
      </c>
      <c r="B565" s="1022"/>
      <c r="C565" s="714" t="s">
        <v>1720</v>
      </c>
      <c r="D565" s="714">
        <v>70</v>
      </c>
      <c r="E565" s="714" t="s">
        <v>1721</v>
      </c>
      <c r="F565" s="829" t="s">
        <v>2230</v>
      </c>
      <c r="G565" s="827">
        <v>8100</v>
      </c>
      <c r="H565" s="828" t="s">
        <v>2273</v>
      </c>
      <c r="I565" s="717">
        <f t="shared" si="17"/>
        <v>32322.600000000002</v>
      </c>
      <c r="J565" s="717">
        <f t="shared" si="18"/>
        <v>21548.400000000001</v>
      </c>
      <c r="K565" s="717">
        <v>53871</v>
      </c>
    </row>
    <row r="566" spans="1:11" s="510" customFormat="1" ht="74.25" hidden="1" customHeight="1">
      <c r="A566" s="1020" t="s">
        <v>1766</v>
      </c>
      <c r="B566" s="1022"/>
      <c r="C566" s="714" t="s">
        <v>1722</v>
      </c>
      <c r="D566" s="714">
        <v>60</v>
      </c>
      <c r="E566" s="714" t="s">
        <v>1723</v>
      </c>
      <c r="F566" s="1044" t="s">
        <v>2231</v>
      </c>
      <c r="G566" s="1047">
        <v>8100</v>
      </c>
      <c r="H566" s="1099" t="s">
        <v>2273</v>
      </c>
      <c r="I566" s="717">
        <f t="shared" si="17"/>
        <v>32400</v>
      </c>
      <c r="J566" s="717">
        <f t="shared" si="18"/>
        <v>21600</v>
      </c>
      <c r="K566" s="717">
        <v>54000</v>
      </c>
    </row>
    <row r="567" spans="1:11" s="510" customFormat="1" ht="74.25" hidden="1" customHeight="1">
      <c r="A567" s="1020" t="s">
        <v>1767</v>
      </c>
      <c r="B567" s="1022"/>
      <c r="C567" s="714" t="s">
        <v>1724</v>
      </c>
      <c r="D567" s="714">
        <v>10</v>
      </c>
      <c r="E567" s="714" t="s">
        <v>1723</v>
      </c>
      <c r="F567" s="1045"/>
      <c r="G567" s="1048"/>
      <c r="H567" s="1100"/>
      <c r="I567" s="717">
        <f t="shared" si="17"/>
        <v>33000</v>
      </c>
      <c r="J567" s="717">
        <f t="shared" si="18"/>
        <v>22000</v>
      </c>
      <c r="K567" s="717">
        <v>55000</v>
      </c>
    </row>
    <row r="568" spans="1:11" s="510" customFormat="1" ht="74.25" hidden="1" customHeight="1">
      <c r="A568" s="1020" t="s">
        <v>1768</v>
      </c>
      <c r="B568" s="1022"/>
      <c r="C568" s="714" t="s">
        <v>1725</v>
      </c>
      <c r="D568" s="714">
        <v>10</v>
      </c>
      <c r="E568" s="714" t="s">
        <v>1726</v>
      </c>
      <c r="F568" s="1046"/>
      <c r="G568" s="1049"/>
      <c r="H568" s="1101"/>
      <c r="I568" s="717">
        <f t="shared" si="17"/>
        <v>13200</v>
      </c>
      <c r="J568" s="717">
        <f t="shared" si="18"/>
        <v>8800</v>
      </c>
      <c r="K568" s="717">
        <v>22000</v>
      </c>
    </row>
    <row r="569" spans="1:11" s="510" customFormat="1" ht="74.25" hidden="1" customHeight="1">
      <c r="A569" s="753"/>
      <c r="B569" s="753"/>
      <c r="C569" s="754"/>
      <c r="D569" s="754"/>
      <c r="E569" s="754"/>
      <c r="F569" s="755"/>
      <c r="G569" s="758"/>
      <c r="H569" s="756"/>
      <c r="I569" s="757"/>
      <c r="J569" s="757"/>
      <c r="K569" s="757"/>
    </row>
    <row r="570" spans="1:11" s="510" customFormat="1" ht="74.25" hidden="1" customHeight="1">
      <c r="A570" s="753"/>
      <c r="B570" s="753"/>
      <c r="C570" s="754"/>
      <c r="D570" s="754"/>
      <c r="E570" s="754"/>
      <c r="F570" s="755"/>
      <c r="G570" s="758"/>
      <c r="H570" s="756"/>
      <c r="I570" s="757"/>
      <c r="J570" s="757"/>
      <c r="K570" s="757"/>
    </row>
    <row r="571" spans="1:11" s="510" customFormat="1" ht="74.25" hidden="1" customHeight="1">
      <c r="A571" s="753"/>
      <c r="B571" s="753"/>
      <c r="C571" s="754"/>
      <c r="D571" s="754"/>
      <c r="E571" s="754"/>
      <c r="F571" s="755"/>
      <c r="G571" s="758"/>
      <c r="H571" s="756"/>
      <c r="I571" s="757"/>
      <c r="J571" s="757"/>
      <c r="K571" s="757"/>
    </row>
    <row r="572" spans="1:11" s="510" customFormat="1" ht="74.25" hidden="1" customHeight="1">
      <c r="A572" s="753"/>
      <c r="B572" s="753"/>
      <c r="C572" s="754"/>
      <c r="D572" s="754"/>
      <c r="E572" s="754"/>
      <c r="F572" s="755"/>
      <c r="G572" s="758"/>
      <c r="H572" s="756"/>
      <c r="I572" s="757"/>
      <c r="J572" s="757"/>
      <c r="K572" s="757"/>
    </row>
    <row r="573" spans="1:11" s="510" customFormat="1" ht="74.25" hidden="1" customHeight="1">
      <c r="A573" s="753"/>
      <c r="B573" s="753"/>
      <c r="C573" s="754"/>
      <c r="D573" s="754"/>
      <c r="E573" s="754"/>
      <c r="F573" s="755"/>
      <c r="G573" s="758"/>
      <c r="H573" s="756"/>
      <c r="I573" s="757"/>
      <c r="J573" s="757"/>
      <c r="K573" s="757"/>
    </row>
    <row r="574" spans="1:11" s="510" customFormat="1" ht="74.25" hidden="1" customHeight="1">
      <c r="A574" s="753"/>
      <c r="B574" s="753"/>
      <c r="C574" s="754"/>
      <c r="D574" s="754"/>
      <c r="E574" s="754"/>
      <c r="F574" s="755"/>
      <c r="G574" s="758"/>
      <c r="H574" s="756"/>
      <c r="I574" s="757"/>
      <c r="J574" s="757"/>
      <c r="K574" s="757"/>
    </row>
    <row r="575" spans="1:11" s="510" customFormat="1" ht="74.25" hidden="1" customHeight="1">
      <c r="A575" s="753"/>
      <c r="B575" s="753"/>
      <c r="C575" s="754"/>
      <c r="D575" s="754"/>
      <c r="E575" s="754"/>
      <c r="F575" s="755"/>
      <c r="G575" s="758"/>
      <c r="H575" s="756"/>
      <c r="I575" s="757"/>
      <c r="J575" s="757"/>
      <c r="K575" s="757"/>
    </row>
    <row r="576" spans="1:11" s="510" customFormat="1" ht="74.25" hidden="1" customHeight="1">
      <c r="A576" s="753"/>
      <c r="B576" s="753"/>
      <c r="C576" s="754"/>
      <c r="D576" s="754"/>
      <c r="E576" s="754"/>
      <c r="F576" s="755"/>
      <c r="G576" s="758"/>
      <c r="H576" s="756"/>
      <c r="I576" s="757"/>
      <c r="J576" s="757"/>
      <c r="K576" s="757"/>
    </row>
    <row r="577" spans="1:11" s="510" customFormat="1" ht="74.25" hidden="1" customHeight="1">
      <c r="A577" s="753"/>
      <c r="B577" s="753"/>
      <c r="C577" s="754"/>
      <c r="D577" s="754"/>
      <c r="E577" s="754"/>
      <c r="F577" s="755"/>
      <c r="G577" s="758"/>
      <c r="H577" s="756"/>
      <c r="I577" s="757"/>
      <c r="J577" s="757"/>
      <c r="K577" s="757"/>
    </row>
    <row r="578" spans="1:11" s="510" customFormat="1" ht="74.25" hidden="1" customHeight="1">
      <c r="A578" s="753"/>
      <c r="B578" s="753"/>
      <c r="C578" s="754"/>
      <c r="D578" s="754"/>
      <c r="E578" s="754"/>
      <c r="F578" s="755"/>
      <c r="G578" s="758"/>
      <c r="H578" s="756"/>
      <c r="I578" s="757"/>
      <c r="J578" s="757"/>
      <c r="K578" s="757"/>
    </row>
    <row r="579" spans="1:11" s="510" customFormat="1" ht="74.25" hidden="1" customHeight="1">
      <c r="A579" s="753"/>
      <c r="B579" s="753"/>
      <c r="C579" s="754"/>
      <c r="D579" s="754"/>
      <c r="E579" s="754"/>
      <c r="F579" s="755"/>
      <c r="G579" s="758"/>
      <c r="H579" s="756"/>
      <c r="I579" s="757"/>
      <c r="J579" s="757"/>
      <c r="K579" s="757"/>
    </row>
    <row r="580" spans="1:11" s="510" customFormat="1" ht="74.25" hidden="1" customHeight="1">
      <c r="A580" s="753"/>
      <c r="B580" s="753"/>
      <c r="C580" s="754"/>
      <c r="D580" s="754"/>
      <c r="E580" s="754"/>
      <c r="F580" s="755"/>
      <c r="G580" s="758"/>
      <c r="H580" s="756"/>
      <c r="I580" s="757"/>
      <c r="J580" s="757"/>
      <c r="K580" s="757"/>
    </row>
    <row r="581" spans="1:11" ht="34.5" hidden="1" customHeight="1">
      <c r="A581" s="1128" t="s">
        <v>51</v>
      </c>
      <c r="B581" s="1128"/>
      <c r="C581" s="1128"/>
      <c r="D581" s="1128"/>
      <c r="E581" s="1128"/>
      <c r="F581" s="1128"/>
      <c r="G581" s="1128"/>
      <c r="H581" s="1128"/>
      <c r="I581" s="1128"/>
      <c r="J581" s="1128"/>
      <c r="K581" s="1128"/>
    </row>
    <row r="582" spans="1:11" ht="30.75" hidden="1" customHeight="1">
      <c r="A582" s="1128" t="s">
        <v>52</v>
      </c>
      <c r="B582" s="1128"/>
      <c r="C582" s="1128"/>
      <c r="D582" s="1128"/>
      <c r="E582" s="1128"/>
      <c r="F582" s="1128"/>
      <c r="G582" s="1128"/>
      <c r="H582" s="1128"/>
      <c r="I582" s="1128"/>
      <c r="J582" s="1128"/>
      <c r="K582" s="1128"/>
    </row>
    <row r="583" spans="1:11" ht="33" hidden="1" customHeight="1">
      <c r="A583" s="1132" t="s">
        <v>50</v>
      </c>
      <c r="B583" s="1132"/>
      <c r="C583" s="1132"/>
      <c r="D583" s="1132"/>
      <c r="E583" s="1132"/>
      <c r="F583" s="1132"/>
      <c r="G583" s="1132"/>
      <c r="H583" s="1132"/>
      <c r="I583" s="1132"/>
      <c r="J583" s="1132"/>
      <c r="K583" s="1132"/>
    </row>
    <row r="584" spans="1:11" ht="33" hidden="1" customHeight="1">
      <c r="A584" s="154"/>
      <c r="B584" s="154"/>
      <c r="C584" s="154"/>
      <c r="D584" s="154"/>
      <c r="E584" s="154"/>
      <c r="F584" s="154"/>
      <c r="G584" s="707"/>
      <c r="H584" s="707"/>
      <c r="I584" s="707"/>
      <c r="J584" s="707"/>
      <c r="K584" s="707"/>
    </row>
    <row r="585" spans="1:11" ht="35.25" hidden="1">
      <c r="A585" s="1128" t="s">
        <v>1336</v>
      </c>
      <c r="B585" s="1128"/>
      <c r="C585" s="1128"/>
      <c r="D585" s="1128"/>
      <c r="E585" s="1128"/>
      <c r="F585" s="1128"/>
      <c r="G585" s="1128"/>
      <c r="H585" s="1128"/>
      <c r="I585" s="1128"/>
      <c r="J585" s="1128"/>
      <c r="K585" s="1128"/>
    </row>
    <row r="586" spans="1:11" s="620" customFormat="1" ht="33" hidden="1">
      <c r="A586" s="65"/>
      <c r="B586" s="65"/>
      <c r="C586" s="65"/>
      <c r="D586" s="65"/>
      <c r="E586" s="65"/>
      <c r="F586" s="65"/>
      <c r="G586" s="68"/>
      <c r="H586" s="68"/>
      <c r="I586" s="68"/>
      <c r="J586" s="68"/>
      <c r="K586" s="68"/>
    </row>
    <row r="587" spans="1:11" ht="20.100000000000001" hidden="1" customHeight="1">
      <c r="A587" s="65"/>
      <c r="B587" s="65"/>
      <c r="C587" s="65"/>
      <c r="D587" s="65"/>
      <c r="E587" s="65"/>
      <c r="F587" s="65"/>
      <c r="G587" s="68"/>
      <c r="H587" s="68"/>
      <c r="I587" s="68"/>
      <c r="J587" s="68"/>
      <c r="K587" s="68"/>
    </row>
    <row r="588" spans="1:11" ht="20.100000000000001" hidden="1" customHeight="1">
      <c r="A588" s="979"/>
      <c r="B588" s="979"/>
      <c r="C588" s="979"/>
      <c r="D588" s="979"/>
      <c r="E588" s="979"/>
      <c r="F588" s="979"/>
      <c r="G588" s="979"/>
      <c r="H588" s="979"/>
      <c r="I588" s="979"/>
      <c r="J588" s="979"/>
      <c r="K588" s="979"/>
    </row>
    <row r="589" spans="1:11" ht="45.75" hidden="1" customHeight="1">
      <c r="A589" s="1030" t="s">
        <v>1381</v>
      </c>
      <c r="B589" s="1030"/>
      <c r="C589" s="1030"/>
      <c r="D589" s="1030"/>
      <c r="E589" s="1030"/>
      <c r="F589" s="1030"/>
      <c r="G589" s="1030"/>
      <c r="H589" s="1030"/>
      <c r="I589" s="1030"/>
      <c r="J589" s="1030"/>
      <c r="K589" s="1030"/>
    </row>
    <row r="590" spans="1:11" ht="66" hidden="1" customHeight="1">
      <c r="A590" s="1031" t="s">
        <v>37</v>
      </c>
      <c r="B590" s="1033"/>
      <c r="C590" s="1037" t="s">
        <v>178</v>
      </c>
      <c r="D590" s="1037" t="s">
        <v>179</v>
      </c>
      <c r="E590" s="1037" t="s">
        <v>1521</v>
      </c>
      <c r="F590" s="1037" t="s">
        <v>14</v>
      </c>
      <c r="G590" s="1037" t="s">
        <v>1515</v>
      </c>
      <c r="H590" s="1037" t="s">
        <v>16</v>
      </c>
      <c r="I590" s="1039" t="s">
        <v>1490</v>
      </c>
      <c r="J590" s="1039" t="s">
        <v>2203</v>
      </c>
      <c r="K590" s="1037" t="s">
        <v>200</v>
      </c>
    </row>
    <row r="591" spans="1:11" s="500" customFormat="1" ht="30" hidden="1">
      <c r="A591" s="1034"/>
      <c r="B591" s="1036"/>
      <c r="C591" s="1038"/>
      <c r="D591" s="1038"/>
      <c r="E591" s="1038"/>
      <c r="F591" s="1038"/>
      <c r="G591" s="1038"/>
      <c r="H591" s="1038"/>
      <c r="I591" s="1039"/>
      <c r="J591" s="1039"/>
      <c r="K591" s="1038"/>
    </row>
    <row r="592" spans="1:11" s="500" customFormat="1" ht="74.25" hidden="1" customHeight="1">
      <c r="A592" s="1102" t="s">
        <v>1844</v>
      </c>
      <c r="B592" s="1103"/>
      <c r="C592" s="729"/>
      <c r="D592" s="729"/>
      <c r="E592" s="726"/>
      <c r="F592" s="727"/>
      <c r="G592" s="728"/>
      <c r="H592" s="728"/>
      <c r="I592" s="642">
        <f>I598+I609+I593+I607</f>
        <v>113415.6</v>
      </c>
      <c r="J592" s="642">
        <f>J598+J609+J593+J607</f>
        <v>75610.399999999994</v>
      </c>
      <c r="K592" s="642">
        <f>I592+J592</f>
        <v>189026</v>
      </c>
    </row>
    <row r="593" spans="1:11" s="579" customFormat="1" ht="73.5" hidden="1" customHeight="1">
      <c r="A593" s="1011" t="s">
        <v>2251</v>
      </c>
      <c r="B593" s="1012"/>
      <c r="C593" s="1012"/>
      <c r="D593" s="1012"/>
      <c r="E593" s="1012"/>
      <c r="F593" s="1013"/>
      <c r="G593" s="709"/>
      <c r="H593" s="710"/>
      <c r="I593" s="545">
        <f>SUM(I594:I597)</f>
        <v>54003</v>
      </c>
      <c r="J593" s="545">
        <f>SUM(J594:J597)</f>
        <v>36002</v>
      </c>
      <c r="K593" s="545">
        <f>I593+J593</f>
        <v>90005</v>
      </c>
    </row>
    <row r="594" spans="1:11" s="510" customFormat="1" ht="74.25" hidden="1" customHeight="1">
      <c r="A594" s="1020" t="s">
        <v>1849</v>
      </c>
      <c r="B594" s="1022"/>
      <c r="C594" s="714" t="s">
        <v>147</v>
      </c>
      <c r="D594" s="714">
        <v>36</v>
      </c>
      <c r="E594" s="714" t="s">
        <v>1845</v>
      </c>
      <c r="F594" s="1044" t="s">
        <v>2259</v>
      </c>
      <c r="G594" s="1047">
        <v>8100</v>
      </c>
      <c r="H594" s="1099" t="s">
        <v>2273</v>
      </c>
      <c r="I594" s="717">
        <f>K594/100*60</f>
        <v>10305</v>
      </c>
      <c r="J594" s="717">
        <f>K594/100*40</f>
        <v>6870</v>
      </c>
      <c r="K594" s="717">
        <v>17175</v>
      </c>
    </row>
    <row r="595" spans="1:11" s="510" customFormat="1" ht="74.25" hidden="1" customHeight="1">
      <c r="A595" s="1020" t="s">
        <v>1850</v>
      </c>
      <c r="B595" s="1022"/>
      <c r="C595" s="714" t="s">
        <v>1846</v>
      </c>
      <c r="D595" s="714">
        <v>47</v>
      </c>
      <c r="E595" s="714" t="s">
        <v>1845</v>
      </c>
      <c r="F595" s="1045"/>
      <c r="G595" s="1048"/>
      <c r="H595" s="1100"/>
      <c r="I595" s="717">
        <f>K595/100*60</f>
        <v>9036</v>
      </c>
      <c r="J595" s="717">
        <f>K595/100*40</f>
        <v>6024</v>
      </c>
      <c r="K595" s="717">
        <v>15060</v>
      </c>
    </row>
    <row r="596" spans="1:11" s="510" customFormat="1" ht="74.25" hidden="1" customHeight="1">
      <c r="A596" s="1020" t="s">
        <v>1851</v>
      </c>
      <c r="B596" s="1022"/>
      <c r="C596" s="714" t="s">
        <v>1846</v>
      </c>
      <c r="D596" s="714">
        <v>45</v>
      </c>
      <c r="E596" s="714" t="s">
        <v>1845</v>
      </c>
      <c r="F596" s="1045"/>
      <c r="G596" s="1048"/>
      <c r="H596" s="1100"/>
      <c r="I596" s="717">
        <f>K596/100*60</f>
        <v>31662.000000000004</v>
      </c>
      <c r="J596" s="717">
        <f>K596/100*40</f>
        <v>21108</v>
      </c>
      <c r="K596" s="717">
        <v>52770</v>
      </c>
    </row>
    <row r="597" spans="1:11" s="510" customFormat="1" ht="74.25" hidden="1" customHeight="1">
      <c r="A597" s="1020" t="s">
        <v>1852</v>
      </c>
      <c r="B597" s="1022"/>
      <c r="C597" s="714" t="s">
        <v>1847</v>
      </c>
      <c r="D597" s="714">
        <v>3</v>
      </c>
      <c r="E597" s="714" t="s">
        <v>1848</v>
      </c>
      <c r="F597" s="1046"/>
      <c r="G597" s="1049"/>
      <c r="H597" s="1101"/>
      <c r="I597" s="717">
        <f>K597/100*60</f>
        <v>3000</v>
      </c>
      <c r="J597" s="717">
        <f>K597/100*40</f>
        <v>2000</v>
      </c>
      <c r="K597" s="717">
        <v>5000</v>
      </c>
    </row>
    <row r="598" spans="1:11" ht="75" hidden="1" customHeight="1">
      <c r="A598" s="1011" t="s">
        <v>1541</v>
      </c>
      <c r="B598" s="1013"/>
      <c r="C598" s="709"/>
      <c r="D598" s="709"/>
      <c r="E598" s="709"/>
      <c r="F598" s="708"/>
      <c r="G598" s="709"/>
      <c r="H598" s="710"/>
      <c r="I598" s="545">
        <f>SUM(I599:I606)</f>
        <v>48394.8</v>
      </c>
      <c r="J598" s="545">
        <f>SUM(J599:J606)</f>
        <v>32263.199999999997</v>
      </c>
      <c r="K598" s="545">
        <f>I598+J598</f>
        <v>80658</v>
      </c>
    </row>
    <row r="599" spans="1:11" s="510" customFormat="1" ht="75" hidden="1" customHeight="1">
      <c r="A599" s="1020" t="s">
        <v>1865</v>
      </c>
      <c r="B599" s="1022"/>
      <c r="C599" s="714" t="s">
        <v>1855</v>
      </c>
      <c r="D599" s="714">
        <v>3</v>
      </c>
      <c r="E599" s="714" t="s">
        <v>1856</v>
      </c>
      <c r="F599" s="829" t="s">
        <v>2229</v>
      </c>
      <c r="G599" s="1047">
        <v>8100</v>
      </c>
      <c r="H599" s="1099" t="s">
        <v>2273</v>
      </c>
      <c r="I599" s="717">
        <f t="shared" ref="I599:I606" si="19">K599/100*60</f>
        <v>4800</v>
      </c>
      <c r="J599" s="717">
        <f t="shared" ref="J599:J606" si="20">K599/100*40</f>
        <v>3200</v>
      </c>
      <c r="K599" s="717">
        <v>8000</v>
      </c>
    </row>
    <row r="600" spans="1:11" s="510" customFormat="1" ht="74.25" hidden="1" customHeight="1">
      <c r="A600" s="1020" t="s">
        <v>1866</v>
      </c>
      <c r="B600" s="1022"/>
      <c r="C600" s="714" t="s">
        <v>1853</v>
      </c>
      <c r="D600" s="714">
        <v>5</v>
      </c>
      <c r="E600" s="714" t="s">
        <v>1854</v>
      </c>
      <c r="F600" s="829" t="s">
        <v>2230</v>
      </c>
      <c r="G600" s="1048"/>
      <c r="H600" s="1100"/>
      <c r="I600" s="717">
        <f t="shared" si="19"/>
        <v>8960.4</v>
      </c>
      <c r="J600" s="717">
        <f t="shared" si="20"/>
        <v>5973.6</v>
      </c>
      <c r="K600" s="717">
        <v>14934</v>
      </c>
    </row>
    <row r="601" spans="1:11" s="510" customFormat="1" ht="75" hidden="1" customHeight="1">
      <c r="A601" s="1020" t="s">
        <v>1867</v>
      </c>
      <c r="B601" s="1022"/>
      <c r="C601" s="714" t="s">
        <v>1857</v>
      </c>
      <c r="D601" s="714">
        <v>12</v>
      </c>
      <c r="E601" s="714" t="s">
        <v>1858</v>
      </c>
      <c r="F601" s="1044" t="s">
        <v>2231</v>
      </c>
      <c r="G601" s="1048"/>
      <c r="H601" s="1100"/>
      <c r="I601" s="717">
        <f t="shared" si="19"/>
        <v>2100</v>
      </c>
      <c r="J601" s="717">
        <f t="shared" si="20"/>
        <v>1400</v>
      </c>
      <c r="K601" s="717">
        <v>3500</v>
      </c>
    </row>
    <row r="602" spans="1:11" s="510" customFormat="1" ht="75" hidden="1" customHeight="1">
      <c r="A602" s="1020" t="s">
        <v>1868</v>
      </c>
      <c r="B602" s="1022"/>
      <c r="C602" s="714" t="s">
        <v>1859</v>
      </c>
      <c r="D602" s="714">
        <v>1</v>
      </c>
      <c r="E602" s="714" t="s">
        <v>1860</v>
      </c>
      <c r="F602" s="1045"/>
      <c r="G602" s="1048"/>
      <c r="H602" s="1100"/>
      <c r="I602" s="717">
        <f t="shared" si="19"/>
        <v>12660</v>
      </c>
      <c r="J602" s="717">
        <f t="shared" si="20"/>
        <v>8440</v>
      </c>
      <c r="K602" s="717">
        <v>21100</v>
      </c>
    </row>
    <row r="603" spans="1:11" s="510" customFormat="1" ht="75" hidden="1" customHeight="1">
      <c r="A603" s="1020" t="s">
        <v>1869</v>
      </c>
      <c r="B603" s="1022"/>
      <c r="C603" s="714" t="s">
        <v>1861</v>
      </c>
      <c r="D603" s="714">
        <v>16</v>
      </c>
      <c r="E603" s="714" t="s">
        <v>1862</v>
      </c>
      <c r="F603" s="1045"/>
      <c r="G603" s="1048"/>
      <c r="H603" s="1100"/>
      <c r="I603" s="717">
        <f t="shared" si="19"/>
        <v>7200</v>
      </c>
      <c r="J603" s="717">
        <f t="shared" si="20"/>
        <v>4800</v>
      </c>
      <c r="K603" s="717">
        <v>12000</v>
      </c>
    </row>
    <row r="604" spans="1:11" s="510" customFormat="1" ht="75" hidden="1" customHeight="1">
      <c r="A604" s="1020" t="s">
        <v>1870</v>
      </c>
      <c r="B604" s="1022"/>
      <c r="C604" s="714" t="s">
        <v>1853</v>
      </c>
      <c r="D604" s="714">
        <v>5</v>
      </c>
      <c r="E604" s="714" t="s">
        <v>1854</v>
      </c>
      <c r="F604" s="1045"/>
      <c r="G604" s="1048"/>
      <c r="H604" s="1100"/>
      <c r="I604" s="717">
        <f t="shared" si="19"/>
        <v>900</v>
      </c>
      <c r="J604" s="717">
        <f t="shared" si="20"/>
        <v>600</v>
      </c>
      <c r="K604" s="717">
        <v>1500</v>
      </c>
    </row>
    <row r="605" spans="1:11" s="510" customFormat="1" ht="75" hidden="1" customHeight="1">
      <c r="A605" s="1020" t="s">
        <v>1871</v>
      </c>
      <c r="B605" s="1022"/>
      <c r="C605" s="714" t="s">
        <v>1863</v>
      </c>
      <c r="D605" s="714">
        <v>3</v>
      </c>
      <c r="E605" s="714" t="s">
        <v>1864</v>
      </c>
      <c r="F605" s="1045"/>
      <c r="G605" s="1048"/>
      <c r="H605" s="1100"/>
      <c r="I605" s="717">
        <f t="shared" si="19"/>
        <v>7574.4</v>
      </c>
      <c r="J605" s="717">
        <f t="shared" si="20"/>
        <v>5049.5999999999995</v>
      </c>
      <c r="K605" s="717">
        <v>12624</v>
      </c>
    </row>
    <row r="606" spans="1:11" s="510" customFormat="1" ht="75" hidden="1" customHeight="1">
      <c r="A606" s="1020" t="s">
        <v>1872</v>
      </c>
      <c r="B606" s="1022"/>
      <c r="C606" s="714" t="s">
        <v>1861</v>
      </c>
      <c r="D606" s="714">
        <v>16</v>
      </c>
      <c r="E606" s="714" t="s">
        <v>1862</v>
      </c>
      <c r="F606" s="1046"/>
      <c r="G606" s="1049"/>
      <c r="H606" s="1101"/>
      <c r="I606" s="717">
        <f t="shared" si="19"/>
        <v>4200</v>
      </c>
      <c r="J606" s="717">
        <f t="shared" si="20"/>
        <v>2800</v>
      </c>
      <c r="K606" s="717">
        <v>7000</v>
      </c>
    </row>
    <row r="607" spans="1:11" ht="74.25" hidden="1" customHeight="1">
      <c r="A607" s="1011" t="s">
        <v>278</v>
      </c>
      <c r="B607" s="1013"/>
      <c r="C607" s="504"/>
      <c r="D607" s="709"/>
      <c r="E607" s="709"/>
      <c r="F607" s="708"/>
      <c r="G607" s="709"/>
      <c r="H607" s="710"/>
      <c r="I607" s="545">
        <f>SUM(I608)</f>
        <v>3900</v>
      </c>
      <c r="J607" s="545">
        <f>SUM(J608)</f>
        <v>2600</v>
      </c>
      <c r="K607" s="545">
        <f>I607+J607</f>
        <v>6500</v>
      </c>
    </row>
    <row r="608" spans="1:11" s="510" customFormat="1" ht="74.25" hidden="1" customHeight="1">
      <c r="A608" s="1020" t="s">
        <v>1873</v>
      </c>
      <c r="B608" s="1022"/>
      <c r="C608" s="714" t="s">
        <v>1215</v>
      </c>
      <c r="D608" s="714">
        <v>3</v>
      </c>
      <c r="E608" s="725" t="s">
        <v>1874</v>
      </c>
      <c r="F608" s="833" t="s">
        <v>2234</v>
      </c>
      <c r="G608" s="835">
        <v>8100</v>
      </c>
      <c r="H608" s="834" t="s">
        <v>2445</v>
      </c>
      <c r="I608" s="717">
        <f>K608/100*60</f>
        <v>3900</v>
      </c>
      <c r="J608" s="717">
        <f>K608/100*40</f>
        <v>2600</v>
      </c>
      <c r="K608" s="717">
        <v>6500</v>
      </c>
    </row>
    <row r="609" spans="1:11" ht="73.5" hidden="1" customHeight="1">
      <c r="A609" s="1011" t="s">
        <v>312</v>
      </c>
      <c r="B609" s="1013"/>
      <c r="C609" s="709"/>
      <c r="D609" s="709"/>
      <c r="E609" s="709"/>
      <c r="F609" s="708"/>
      <c r="G609" s="709"/>
      <c r="H609" s="710"/>
      <c r="I609" s="545">
        <f>SUM(I610:I611)</f>
        <v>7117.7999999999993</v>
      </c>
      <c r="J609" s="545">
        <f>SUM(J610:J611)</f>
        <v>4745.2</v>
      </c>
      <c r="K609" s="545">
        <f>I609+J609</f>
        <v>11863</v>
      </c>
    </row>
    <row r="610" spans="1:11" s="510" customFormat="1" ht="74.25" hidden="1" customHeight="1">
      <c r="A610" s="1020" t="s">
        <v>1875</v>
      </c>
      <c r="B610" s="1022"/>
      <c r="C610" s="714" t="s">
        <v>1623</v>
      </c>
      <c r="D610" s="714">
        <v>8</v>
      </c>
      <c r="E610" s="714" t="s">
        <v>1877</v>
      </c>
      <c r="F610" s="1044" t="s">
        <v>2224</v>
      </c>
      <c r="G610" s="1047">
        <v>8100</v>
      </c>
      <c r="H610" s="1099" t="s">
        <v>2273</v>
      </c>
      <c r="I610" s="717">
        <f>K610/100*60</f>
        <v>1710</v>
      </c>
      <c r="J610" s="717">
        <f>K610/100*40</f>
        <v>1140</v>
      </c>
      <c r="K610" s="717">
        <v>2850</v>
      </c>
    </row>
    <row r="611" spans="1:11" s="510" customFormat="1" ht="74.25" hidden="1" customHeight="1">
      <c r="A611" s="1020" t="s">
        <v>1876</v>
      </c>
      <c r="B611" s="1022"/>
      <c r="C611" s="714" t="s">
        <v>1861</v>
      </c>
      <c r="D611" s="714">
        <v>15</v>
      </c>
      <c r="E611" s="714" t="s">
        <v>1878</v>
      </c>
      <c r="F611" s="1046"/>
      <c r="G611" s="1049"/>
      <c r="H611" s="1101"/>
      <c r="I611" s="717">
        <f>K611/100*60</f>
        <v>5407.7999999999993</v>
      </c>
      <c r="J611" s="717">
        <f>K611/100*40</f>
        <v>3605.2</v>
      </c>
      <c r="K611" s="717">
        <v>9013</v>
      </c>
    </row>
    <row r="612" spans="1:11" ht="96" hidden="1" customHeight="1">
      <c r="A612" s="1141"/>
      <c r="B612" s="1141"/>
      <c r="C612" s="1141"/>
      <c r="D612" s="1141"/>
      <c r="E612" s="1141"/>
      <c r="F612" s="1141"/>
      <c r="G612" s="1141"/>
      <c r="H612" s="1141"/>
      <c r="I612" s="1141"/>
      <c r="J612" s="1141"/>
      <c r="K612" s="1141"/>
    </row>
    <row r="613" spans="1:11" ht="54.75" hidden="1" customHeight="1">
      <c r="A613" s="528"/>
      <c r="B613" s="529"/>
      <c r="C613" s="529"/>
      <c r="D613" s="530"/>
      <c r="E613" s="531"/>
      <c r="F613" s="532"/>
      <c r="G613" s="533"/>
      <c r="H613" s="649"/>
      <c r="I613" s="535"/>
      <c r="J613" s="535"/>
      <c r="K613" s="535"/>
    </row>
    <row r="614" spans="1:11" ht="54.75" hidden="1" customHeight="1">
      <c r="A614" s="528"/>
      <c r="B614" s="529"/>
      <c r="C614" s="529"/>
      <c r="D614" s="530"/>
      <c r="E614" s="531"/>
      <c r="F614" s="532"/>
      <c r="G614" s="533"/>
      <c r="H614" s="649"/>
      <c r="I614" s="535"/>
      <c r="J614" s="535"/>
      <c r="K614" s="535"/>
    </row>
    <row r="615" spans="1:11" ht="54.75" hidden="1" customHeight="1">
      <c r="A615" s="528"/>
      <c r="B615" s="529"/>
      <c r="C615" s="529"/>
      <c r="D615" s="530"/>
      <c r="E615" s="531"/>
      <c r="F615" s="532"/>
      <c r="G615" s="533"/>
      <c r="H615" s="649"/>
      <c r="I615" s="535"/>
      <c r="J615" s="535"/>
      <c r="K615" s="535"/>
    </row>
    <row r="616" spans="1:11" ht="54.75" hidden="1" customHeight="1">
      <c r="A616" s="528"/>
      <c r="B616" s="529"/>
      <c r="C616" s="529"/>
      <c r="D616" s="530"/>
      <c r="E616" s="531"/>
      <c r="F616" s="532"/>
      <c r="G616" s="533"/>
      <c r="H616" s="649"/>
      <c r="I616" s="535"/>
      <c r="J616" s="535"/>
      <c r="K616" s="535"/>
    </row>
    <row r="617" spans="1:11" ht="54.75" hidden="1" customHeight="1">
      <c r="A617" s="528"/>
      <c r="B617" s="529"/>
      <c r="C617" s="529"/>
      <c r="D617" s="530"/>
      <c r="E617" s="531"/>
      <c r="F617" s="532"/>
      <c r="G617" s="533"/>
      <c r="H617" s="649"/>
      <c r="I617" s="535"/>
      <c r="J617" s="535"/>
      <c r="K617" s="535"/>
    </row>
    <row r="618" spans="1:11" ht="54.75" hidden="1" customHeight="1">
      <c r="A618" s="528"/>
      <c r="B618" s="529"/>
      <c r="C618" s="529"/>
      <c r="D618" s="530"/>
      <c r="E618" s="531"/>
      <c r="F618" s="532"/>
      <c r="G618" s="533"/>
      <c r="H618" s="649"/>
      <c r="I618" s="535"/>
      <c r="J618" s="535"/>
      <c r="K618" s="535"/>
    </row>
    <row r="619" spans="1:11" ht="54.75" hidden="1" customHeight="1">
      <c r="A619" s="528"/>
      <c r="B619" s="529"/>
      <c r="C619" s="529"/>
      <c r="D619" s="530"/>
      <c r="E619" s="531"/>
      <c r="F619" s="532"/>
      <c r="G619" s="533"/>
      <c r="H619" s="649"/>
      <c r="I619" s="535"/>
      <c r="J619" s="535"/>
      <c r="K619" s="535"/>
    </row>
    <row r="620" spans="1:11" ht="54.75" hidden="1" customHeight="1">
      <c r="A620" s="528"/>
      <c r="B620" s="529"/>
      <c r="C620" s="529"/>
      <c r="D620" s="530"/>
      <c r="E620" s="531"/>
      <c r="F620" s="532"/>
      <c r="G620" s="533"/>
      <c r="H620" s="649"/>
      <c r="I620" s="535"/>
      <c r="J620" s="535"/>
      <c r="K620" s="535"/>
    </row>
    <row r="621" spans="1:11" ht="54.75" hidden="1" customHeight="1">
      <c r="A621" s="528"/>
      <c r="B621" s="529"/>
      <c r="C621" s="529"/>
      <c r="D621" s="530"/>
      <c r="E621" s="531"/>
      <c r="F621" s="532"/>
      <c r="G621" s="533"/>
      <c r="H621" s="649"/>
      <c r="I621" s="535"/>
      <c r="J621" s="535"/>
      <c r="K621" s="535"/>
    </row>
    <row r="622" spans="1:11" ht="54.75" hidden="1" customHeight="1">
      <c r="A622" s="528"/>
      <c r="B622" s="529"/>
      <c r="C622" s="529"/>
      <c r="D622" s="530"/>
      <c r="E622" s="531"/>
      <c r="F622" s="532"/>
      <c r="G622" s="533"/>
      <c r="H622" s="649"/>
      <c r="I622" s="535"/>
      <c r="J622" s="535"/>
      <c r="K622" s="535"/>
    </row>
    <row r="623" spans="1:11" ht="54.75" hidden="1" customHeight="1">
      <c r="A623" s="528"/>
      <c r="B623" s="529"/>
      <c r="C623" s="529"/>
      <c r="D623" s="530"/>
      <c r="E623" s="531"/>
      <c r="F623" s="532"/>
      <c r="G623" s="533"/>
      <c r="H623" s="649"/>
      <c r="I623" s="535"/>
      <c r="J623" s="535"/>
      <c r="K623" s="535"/>
    </row>
    <row r="624" spans="1:11" ht="54.75" hidden="1" customHeight="1">
      <c r="A624" s="528"/>
      <c r="B624" s="529"/>
      <c r="C624" s="529"/>
      <c r="D624" s="530"/>
      <c r="E624" s="531"/>
      <c r="F624" s="532"/>
      <c r="G624" s="533"/>
      <c r="H624" s="649"/>
      <c r="I624" s="535"/>
      <c r="J624" s="535"/>
      <c r="K624" s="535"/>
    </row>
    <row r="625" spans="1:11" ht="54.75" hidden="1" customHeight="1">
      <c r="A625" s="528"/>
      <c r="B625" s="529"/>
      <c r="C625" s="529"/>
      <c r="D625" s="530"/>
      <c r="E625" s="531"/>
      <c r="F625" s="532"/>
      <c r="G625" s="533"/>
      <c r="H625" s="649"/>
      <c r="I625" s="535"/>
      <c r="J625" s="535"/>
      <c r="K625" s="535"/>
    </row>
    <row r="626" spans="1:11" ht="34.5" hidden="1" customHeight="1">
      <c r="A626" s="1128" t="s">
        <v>51</v>
      </c>
      <c r="B626" s="1128"/>
      <c r="C626" s="1128"/>
      <c r="D626" s="1128"/>
      <c r="E626" s="1128"/>
      <c r="F626" s="1128"/>
      <c r="G626" s="1128"/>
      <c r="H626" s="1128"/>
      <c r="I626" s="1128"/>
      <c r="J626" s="1128"/>
      <c r="K626" s="1128"/>
    </row>
    <row r="627" spans="1:11" ht="30.75" hidden="1" customHeight="1">
      <c r="A627" s="1128" t="s">
        <v>52</v>
      </c>
      <c r="B627" s="1128"/>
      <c r="C627" s="1128"/>
      <c r="D627" s="1128"/>
      <c r="E627" s="1128"/>
      <c r="F627" s="1128"/>
      <c r="G627" s="1128"/>
      <c r="H627" s="1128"/>
      <c r="I627" s="1128"/>
      <c r="J627" s="1128"/>
      <c r="K627" s="1128"/>
    </row>
    <row r="628" spans="1:11" ht="33" hidden="1" customHeight="1">
      <c r="A628" s="1132" t="s">
        <v>50</v>
      </c>
      <c r="B628" s="1132"/>
      <c r="C628" s="1132"/>
      <c r="D628" s="1132"/>
      <c r="E628" s="1132"/>
      <c r="F628" s="1132"/>
      <c r="G628" s="1132"/>
      <c r="H628" s="1132"/>
      <c r="I628" s="1132"/>
      <c r="J628" s="1132"/>
      <c r="K628" s="1132"/>
    </row>
    <row r="629" spans="1:11" ht="33" hidden="1" customHeight="1">
      <c r="A629" s="154"/>
      <c r="B629" s="154"/>
      <c r="C629" s="154"/>
      <c r="D629" s="154"/>
      <c r="E629" s="154"/>
      <c r="F629" s="154"/>
      <c r="G629" s="707"/>
      <c r="H629" s="707"/>
      <c r="I629" s="707"/>
      <c r="J629" s="707"/>
      <c r="K629" s="707"/>
    </row>
    <row r="630" spans="1:11" ht="35.25" hidden="1">
      <c r="A630" s="1128" t="s">
        <v>1336</v>
      </c>
      <c r="B630" s="1128"/>
      <c r="C630" s="1128"/>
      <c r="D630" s="1128"/>
      <c r="E630" s="1128"/>
      <c r="F630" s="1128"/>
      <c r="G630" s="1128"/>
      <c r="H630" s="1128"/>
      <c r="I630" s="1128"/>
      <c r="J630" s="1128"/>
      <c r="K630" s="1128"/>
    </row>
    <row r="631" spans="1:11" s="620" customFormat="1" ht="33" hidden="1">
      <c r="A631" s="65"/>
      <c r="B631" s="65"/>
      <c r="C631" s="65"/>
      <c r="D631" s="65"/>
      <c r="E631" s="65"/>
      <c r="F631" s="65"/>
      <c r="G631" s="68"/>
      <c r="H631" s="68"/>
      <c r="I631" s="68"/>
      <c r="J631" s="68"/>
      <c r="K631" s="68"/>
    </row>
    <row r="632" spans="1:11" ht="20.100000000000001" hidden="1" customHeight="1">
      <c r="A632" s="65"/>
      <c r="B632" s="65"/>
      <c r="C632" s="65"/>
      <c r="D632" s="65"/>
      <c r="E632" s="65"/>
      <c r="F632" s="65"/>
      <c r="G632" s="68"/>
      <c r="H632" s="68"/>
      <c r="I632" s="68"/>
      <c r="J632" s="68"/>
      <c r="K632" s="68"/>
    </row>
    <row r="633" spans="1:11" ht="20.100000000000001" hidden="1" customHeight="1">
      <c r="A633" s="979"/>
      <c r="B633" s="979"/>
      <c r="C633" s="979"/>
      <c r="D633" s="979"/>
      <c r="E633" s="979"/>
      <c r="F633" s="979"/>
      <c r="G633" s="979"/>
      <c r="H633" s="979"/>
      <c r="I633" s="979"/>
      <c r="J633" s="979"/>
      <c r="K633" s="979"/>
    </row>
    <row r="634" spans="1:11" ht="45.75" hidden="1" customHeight="1">
      <c r="A634" s="1030" t="s">
        <v>1381</v>
      </c>
      <c r="B634" s="1030"/>
      <c r="C634" s="1030"/>
      <c r="D634" s="1030"/>
      <c r="E634" s="1030"/>
      <c r="F634" s="1030"/>
      <c r="G634" s="1030"/>
      <c r="H634" s="1030"/>
      <c r="I634" s="1030"/>
      <c r="J634" s="1030"/>
      <c r="K634" s="1030"/>
    </row>
    <row r="635" spans="1:11" ht="66" hidden="1" customHeight="1">
      <c r="A635" s="1031" t="s">
        <v>37</v>
      </c>
      <c r="B635" s="1033"/>
      <c r="C635" s="1037" t="s">
        <v>178</v>
      </c>
      <c r="D635" s="1037" t="s">
        <v>179</v>
      </c>
      <c r="E635" s="1037" t="s">
        <v>1521</v>
      </c>
      <c r="F635" s="1037" t="s">
        <v>14</v>
      </c>
      <c r="G635" s="1037" t="s">
        <v>1515</v>
      </c>
      <c r="H635" s="1037" t="s">
        <v>16</v>
      </c>
      <c r="I635" s="1039" t="s">
        <v>1490</v>
      </c>
      <c r="J635" s="1039" t="s">
        <v>2203</v>
      </c>
      <c r="K635" s="1037" t="s">
        <v>200</v>
      </c>
    </row>
    <row r="636" spans="1:11" s="500" customFormat="1" ht="30" hidden="1">
      <c r="A636" s="1034"/>
      <c r="B636" s="1036"/>
      <c r="C636" s="1038"/>
      <c r="D636" s="1038"/>
      <c r="E636" s="1038"/>
      <c r="F636" s="1038"/>
      <c r="G636" s="1038"/>
      <c r="H636" s="1038"/>
      <c r="I636" s="1039"/>
      <c r="J636" s="1039"/>
      <c r="K636" s="1038"/>
    </row>
    <row r="637" spans="1:11" s="500" customFormat="1" ht="74.25" hidden="1" customHeight="1">
      <c r="A637" s="1102" t="s">
        <v>1805</v>
      </c>
      <c r="B637" s="1103"/>
      <c r="C637" s="729"/>
      <c r="D637" s="729"/>
      <c r="E637" s="726"/>
      <c r="F637" s="727"/>
      <c r="G637" s="728"/>
      <c r="H637" s="728"/>
      <c r="I637" s="642">
        <f>I638+I644+I646+I649</f>
        <v>242085.19999999998</v>
      </c>
      <c r="J637" s="642">
        <f>J638+J644+J646+J649</f>
        <v>139238.79999999999</v>
      </c>
      <c r="K637" s="642">
        <f>I637+J637</f>
        <v>381324</v>
      </c>
    </row>
    <row r="638" spans="1:11" ht="75" hidden="1" customHeight="1">
      <c r="A638" s="1011" t="s">
        <v>1541</v>
      </c>
      <c r="B638" s="1013"/>
      <c r="C638" s="709"/>
      <c r="D638" s="709"/>
      <c r="E638" s="709"/>
      <c r="F638" s="708"/>
      <c r="G638" s="709"/>
      <c r="H638" s="710"/>
      <c r="I638" s="545">
        <f>SUM(I639:I643)</f>
        <v>21299.4</v>
      </c>
      <c r="J638" s="545">
        <f>SUM(J639:J643)</f>
        <v>14199.6</v>
      </c>
      <c r="K638" s="545">
        <f>I638+J638</f>
        <v>35499</v>
      </c>
    </row>
    <row r="639" spans="1:11" s="510" customFormat="1" ht="74.25" hidden="1" customHeight="1">
      <c r="A639" s="1020" t="s">
        <v>1806</v>
      </c>
      <c r="B639" s="1022"/>
      <c r="C639" s="714" t="s">
        <v>1813</v>
      </c>
      <c r="D639" s="714">
        <v>36</v>
      </c>
      <c r="E639" s="725" t="s">
        <v>1810</v>
      </c>
      <c r="F639" s="1044" t="s">
        <v>2229</v>
      </c>
      <c r="G639" s="1047">
        <v>8100</v>
      </c>
      <c r="H639" s="1099" t="s">
        <v>2273</v>
      </c>
      <c r="I639" s="717">
        <f>K639/100*60</f>
        <v>3600</v>
      </c>
      <c r="J639" s="717">
        <f>K639/100*40</f>
        <v>2400</v>
      </c>
      <c r="K639" s="717">
        <v>6000</v>
      </c>
    </row>
    <row r="640" spans="1:11" s="510" customFormat="1" ht="75" hidden="1" customHeight="1">
      <c r="A640" s="1020" t="s">
        <v>1807</v>
      </c>
      <c r="B640" s="1022"/>
      <c r="C640" s="714" t="s">
        <v>1814</v>
      </c>
      <c r="D640" s="714">
        <v>5</v>
      </c>
      <c r="E640" s="725" t="s">
        <v>1811</v>
      </c>
      <c r="F640" s="1045"/>
      <c r="G640" s="1048"/>
      <c r="H640" s="1100"/>
      <c r="I640" s="717">
        <f>K640/100*60</f>
        <v>1500</v>
      </c>
      <c r="J640" s="717">
        <f>K640/100*40</f>
        <v>1000</v>
      </c>
      <c r="K640" s="717">
        <v>2500</v>
      </c>
    </row>
    <row r="641" spans="1:13" s="510" customFormat="1" ht="75" hidden="1" customHeight="1">
      <c r="A641" s="1020" t="s">
        <v>506</v>
      </c>
      <c r="B641" s="1022"/>
      <c r="C641" s="714" t="s">
        <v>1816</v>
      </c>
      <c r="D641" s="744">
        <v>3</v>
      </c>
      <c r="E641" s="725" t="s">
        <v>1810</v>
      </c>
      <c r="F641" s="1046"/>
      <c r="G641" s="1048"/>
      <c r="H641" s="1100"/>
      <c r="I641" s="717">
        <f>K641/100*60</f>
        <v>3000</v>
      </c>
      <c r="J641" s="717">
        <f>K641/100*40</f>
        <v>2000</v>
      </c>
      <c r="K641" s="717">
        <v>5000</v>
      </c>
    </row>
    <row r="642" spans="1:13" s="510" customFormat="1" ht="75" hidden="1" customHeight="1">
      <c r="A642" s="1020" t="s">
        <v>1808</v>
      </c>
      <c r="B642" s="1022"/>
      <c r="C642" s="714" t="s">
        <v>1815</v>
      </c>
      <c r="D642" s="714">
        <v>1</v>
      </c>
      <c r="E642" s="725" t="s">
        <v>1812</v>
      </c>
      <c r="F642" s="1044" t="s">
        <v>2231</v>
      </c>
      <c r="G642" s="1048"/>
      <c r="H642" s="1100"/>
      <c r="I642" s="717">
        <f>K642/100*60</f>
        <v>4199.3999999999996</v>
      </c>
      <c r="J642" s="717">
        <f>K642/100*40</f>
        <v>2799.6</v>
      </c>
      <c r="K642" s="717">
        <v>6999</v>
      </c>
    </row>
    <row r="643" spans="1:13" s="510" customFormat="1" ht="75" hidden="1" customHeight="1">
      <c r="A643" s="1020" t="s">
        <v>1809</v>
      </c>
      <c r="B643" s="1022"/>
      <c r="C643" s="714" t="s">
        <v>1815</v>
      </c>
      <c r="D643" s="714">
        <v>3</v>
      </c>
      <c r="E643" s="725" t="s">
        <v>1812</v>
      </c>
      <c r="F643" s="1046"/>
      <c r="G643" s="1048"/>
      <c r="H643" s="1100"/>
      <c r="I643" s="717">
        <f>K643/100*60</f>
        <v>9000</v>
      </c>
      <c r="J643" s="717">
        <f>K643/100*40</f>
        <v>6000</v>
      </c>
      <c r="K643" s="717">
        <v>15000</v>
      </c>
    </row>
    <row r="644" spans="1:13" ht="74.25" hidden="1" customHeight="1">
      <c r="A644" s="1011" t="s">
        <v>278</v>
      </c>
      <c r="B644" s="1013"/>
      <c r="C644" s="504"/>
      <c r="D644" s="709"/>
      <c r="E644" s="709"/>
      <c r="F644" s="708"/>
      <c r="G644" s="709"/>
      <c r="H644" s="710"/>
      <c r="I644" s="545">
        <f>SUM(I645)</f>
        <v>4800</v>
      </c>
      <c r="J644" s="545">
        <f>SUM(J645)</f>
        <v>3200</v>
      </c>
      <c r="K644" s="545">
        <f>I644+J644</f>
        <v>8000</v>
      </c>
    </row>
    <row r="645" spans="1:13" s="510" customFormat="1" ht="74.25" hidden="1" customHeight="1">
      <c r="A645" s="1020" t="s">
        <v>1817</v>
      </c>
      <c r="B645" s="1022"/>
      <c r="C645" s="714" t="s">
        <v>1215</v>
      </c>
      <c r="D645" s="714">
        <v>6</v>
      </c>
      <c r="E645" s="725" t="s">
        <v>1818</v>
      </c>
      <c r="F645" s="833" t="s">
        <v>2234</v>
      </c>
      <c r="G645" s="835">
        <v>8100</v>
      </c>
      <c r="H645" s="834" t="s">
        <v>2445</v>
      </c>
      <c r="I645" s="717">
        <f>K645/100*60</f>
        <v>4800</v>
      </c>
      <c r="J645" s="717">
        <f>K645/100*40</f>
        <v>3200</v>
      </c>
      <c r="K645" s="717">
        <v>8000</v>
      </c>
    </row>
    <row r="646" spans="1:13" ht="73.5" hidden="1" customHeight="1">
      <c r="A646" s="1011" t="s">
        <v>312</v>
      </c>
      <c r="B646" s="1013"/>
      <c r="C646" s="709"/>
      <c r="D646" s="709"/>
      <c r="E646" s="709"/>
      <c r="F646" s="708"/>
      <c r="G646" s="709"/>
      <c r="H646" s="710"/>
      <c r="I646" s="545">
        <f>SUM(I647:I648)</f>
        <v>10500</v>
      </c>
      <c r="J646" s="545">
        <f>SUM(J647:J648)</f>
        <v>7000</v>
      </c>
      <c r="K646" s="545">
        <f>I646+J646</f>
        <v>17500</v>
      </c>
    </row>
    <row r="647" spans="1:13" s="510" customFormat="1" ht="74.25" hidden="1" customHeight="1">
      <c r="A647" s="1020" t="s">
        <v>1819</v>
      </c>
      <c r="B647" s="1022"/>
      <c r="C647" s="714" t="s">
        <v>1821</v>
      </c>
      <c r="D647" s="714">
        <v>3</v>
      </c>
      <c r="E647" s="725" t="s">
        <v>1810</v>
      </c>
      <c r="F647" s="1044" t="s">
        <v>2224</v>
      </c>
      <c r="G647" s="1047">
        <v>8100</v>
      </c>
      <c r="H647" s="1099" t="s">
        <v>2273</v>
      </c>
      <c r="I647" s="717">
        <f>K647/100*60</f>
        <v>3300</v>
      </c>
      <c r="J647" s="717">
        <f>K647/100*40</f>
        <v>2200</v>
      </c>
      <c r="K647" s="717">
        <v>5500</v>
      </c>
    </row>
    <row r="648" spans="1:13" s="510" customFormat="1" ht="74.25" hidden="1" customHeight="1">
      <c r="A648" s="1020" t="s">
        <v>1820</v>
      </c>
      <c r="B648" s="1022"/>
      <c r="C648" s="714" t="s">
        <v>1815</v>
      </c>
      <c r="D648" s="714">
        <v>2</v>
      </c>
      <c r="E648" s="725" t="s">
        <v>1812</v>
      </c>
      <c r="F648" s="1046"/>
      <c r="G648" s="1048"/>
      <c r="H648" s="1100"/>
      <c r="I648" s="717">
        <f>K648/100*60</f>
        <v>7200</v>
      </c>
      <c r="J648" s="717">
        <f>K648/100*40</f>
        <v>4800</v>
      </c>
      <c r="K648" s="717">
        <v>12000</v>
      </c>
    </row>
    <row r="649" spans="1:13" ht="73.5" hidden="1" customHeight="1">
      <c r="A649" s="1011" t="s">
        <v>821</v>
      </c>
      <c r="B649" s="1013"/>
      <c r="C649" s="709"/>
      <c r="D649" s="709"/>
      <c r="E649" s="709"/>
      <c r="F649" s="708"/>
      <c r="G649" s="709"/>
      <c r="H649" s="710"/>
      <c r="I649" s="545">
        <f>SUM(I650:I664)</f>
        <v>205485.8</v>
      </c>
      <c r="J649" s="545">
        <f>SUM(J650:J664)</f>
        <v>114839.2</v>
      </c>
      <c r="K649" s="545">
        <f>I649+J649</f>
        <v>320325</v>
      </c>
    </row>
    <row r="650" spans="1:13" s="510" customFormat="1" ht="74.25" hidden="1" customHeight="1">
      <c r="A650" s="1020" t="s">
        <v>1831</v>
      </c>
      <c r="B650" s="1022"/>
      <c r="C650" s="714" t="s">
        <v>1827</v>
      </c>
      <c r="D650" s="714">
        <v>2</v>
      </c>
      <c r="E650" s="725" t="s">
        <v>1818</v>
      </c>
      <c r="F650" s="1044" t="s">
        <v>2244</v>
      </c>
      <c r="G650" s="1047">
        <v>8100</v>
      </c>
      <c r="H650" s="1099" t="s">
        <v>2274</v>
      </c>
      <c r="I650" s="717">
        <f t="shared" ref="I650:I660" si="21">K650/100*60</f>
        <v>4800</v>
      </c>
      <c r="J650" s="717">
        <f t="shared" ref="J650:J660" si="22">K650/100*40</f>
        <v>3200</v>
      </c>
      <c r="K650" s="717">
        <v>8000</v>
      </c>
    </row>
    <row r="651" spans="1:13" s="510" customFormat="1" ht="74.25" hidden="1" customHeight="1">
      <c r="A651" s="1020" t="s">
        <v>1832</v>
      </c>
      <c r="B651" s="1022"/>
      <c r="C651" s="714" t="s">
        <v>1827</v>
      </c>
      <c r="D651" s="714">
        <v>12</v>
      </c>
      <c r="E651" s="725" t="s">
        <v>1818</v>
      </c>
      <c r="F651" s="1046"/>
      <c r="G651" s="1048"/>
      <c r="H651" s="1100"/>
      <c r="I651" s="717">
        <f t="shared" si="21"/>
        <v>18000</v>
      </c>
      <c r="J651" s="717">
        <f t="shared" si="22"/>
        <v>12000</v>
      </c>
      <c r="K651" s="717">
        <v>30000</v>
      </c>
    </row>
    <row r="652" spans="1:13" s="510" customFormat="1" ht="74.25" hidden="1" customHeight="1">
      <c r="A652" s="1020" t="s">
        <v>1833</v>
      </c>
      <c r="B652" s="1022"/>
      <c r="C652" s="714" t="s">
        <v>1822</v>
      </c>
      <c r="D652" s="714">
        <v>6</v>
      </c>
      <c r="E652" s="725" t="s">
        <v>1823</v>
      </c>
      <c r="F652" s="1044" t="s">
        <v>2243</v>
      </c>
      <c r="G652" s="1047">
        <v>8100</v>
      </c>
      <c r="H652" s="1099" t="s">
        <v>2274</v>
      </c>
      <c r="I652" s="717">
        <f>36000-9568</f>
        <v>26432</v>
      </c>
      <c r="J652" s="717">
        <f>24000-1736</f>
        <v>22264</v>
      </c>
      <c r="K652" s="717">
        <f>I652+J652</f>
        <v>48696</v>
      </c>
    </row>
    <row r="653" spans="1:13" s="510" customFormat="1" ht="74.25" hidden="1" customHeight="1">
      <c r="A653" s="1020" t="s">
        <v>1834</v>
      </c>
      <c r="B653" s="1022"/>
      <c r="C653" s="714" t="s">
        <v>1824</v>
      </c>
      <c r="D653" s="714">
        <v>4</v>
      </c>
      <c r="E653" s="725" t="s">
        <v>1823</v>
      </c>
      <c r="F653" s="1045"/>
      <c r="G653" s="1048"/>
      <c r="H653" s="1100"/>
      <c r="I653" s="717">
        <f t="shared" si="21"/>
        <v>33000</v>
      </c>
      <c r="J653" s="717">
        <f t="shared" si="22"/>
        <v>22000</v>
      </c>
      <c r="K653" s="717">
        <v>55000</v>
      </c>
    </row>
    <row r="654" spans="1:13" s="510" customFormat="1" ht="74.25" hidden="1" customHeight="1">
      <c r="A654" s="1020" t="s">
        <v>1835</v>
      </c>
      <c r="B654" s="1022"/>
      <c r="C654" s="714" t="s">
        <v>1824</v>
      </c>
      <c r="D654" s="714">
        <v>4</v>
      </c>
      <c r="E654" s="725" t="s">
        <v>1823</v>
      </c>
      <c r="F654" s="1045"/>
      <c r="G654" s="1048"/>
      <c r="H654" s="1100"/>
      <c r="I654" s="717">
        <f t="shared" si="21"/>
        <v>15262.8</v>
      </c>
      <c r="J654" s="717">
        <f t="shared" si="22"/>
        <v>10175.200000000001</v>
      </c>
      <c r="K654" s="717">
        <v>25438</v>
      </c>
    </row>
    <row r="655" spans="1:13" s="510" customFormat="1" ht="74.25" hidden="1" customHeight="1">
      <c r="A655" s="1020" t="s">
        <v>1836</v>
      </c>
      <c r="B655" s="1022"/>
      <c r="C655" s="714" t="s">
        <v>1824</v>
      </c>
      <c r="D655" s="714">
        <v>4</v>
      </c>
      <c r="E655" s="725" t="s">
        <v>1823</v>
      </c>
      <c r="F655" s="1045"/>
      <c r="G655" s="1048"/>
      <c r="H655" s="1100"/>
      <c r="I655" s="717">
        <f t="shared" si="21"/>
        <v>12000</v>
      </c>
      <c r="J655" s="717">
        <f t="shared" si="22"/>
        <v>8000</v>
      </c>
      <c r="K655" s="717">
        <v>20000</v>
      </c>
      <c r="M655" s="510">
        <v>9568</v>
      </c>
    </row>
    <row r="656" spans="1:13" s="510" customFormat="1" ht="74.25" hidden="1" customHeight="1">
      <c r="A656" s="1020" t="s">
        <v>1606</v>
      </c>
      <c r="B656" s="1022"/>
      <c r="C656" s="714" t="s">
        <v>1824</v>
      </c>
      <c r="D656" s="714">
        <v>6</v>
      </c>
      <c r="E656" s="725" t="s">
        <v>1830</v>
      </c>
      <c r="F656" s="1046"/>
      <c r="G656" s="1049"/>
      <c r="H656" s="1100"/>
      <c r="I656" s="717">
        <f t="shared" si="21"/>
        <v>6000</v>
      </c>
      <c r="J656" s="717">
        <f t="shared" si="22"/>
        <v>4000</v>
      </c>
      <c r="K656" s="717">
        <v>10000</v>
      </c>
    </row>
    <row r="657" spans="1:11" s="510" customFormat="1" ht="74.25" hidden="1" customHeight="1">
      <c r="A657" s="1020" t="s">
        <v>1837</v>
      </c>
      <c r="B657" s="1022"/>
      <c r="C657" s="714" t="s">
        <v>1824</v>
      </c>
      <c r="D657" s="714">
        <v>4</v>
      </c>
      <c r="E657" s="725" t="s">
        <v>1830</v>
      </c>
      <c r="F657" s="1104" t="s">
        <v>2242</v>
      </c>
      <c r="G657" s="1047">
        <v>8100</v>
      </c>
      <c r="H657" s="1140" t="s">
        <v>2274</v>
      </c>
      <c r="I657" s="717">
        <f t="shared" si="21"/>
        <v>4800</v>
      </c>
      <c r="J657" s="717">
        <f t="shared" si="22"/>
        <v>3200</v>
      </c>
      <c r="K657" s="717">
        <v>8000</v>
      </c>
    </row>
    <row r="658" spans="1:11" s="510" customFormat="1" ht="74.25" hidden="1" customHeight="1">
      <c r="A658" s="1020" t="s">
        <v>1838</v>
      </c>
      <c r="B658" s="1022"/>
      <c r="C658" s="714" t="s">
        <v>1825</v>
      </c>
      <c r="D658" s="714">
        <v>18</v>
      </c>
      <c r="E658" s="725" t="s">
        <v>1830</v>
      </c>
      <c r="F658" s="1104"/>
      <c r="G658" s="1048"/>
      <c r="H658" s="1140"/>
      <c r="I658" s="717">
        <f t="shared" si="21"/>
        <v>6000</v>
      </c>
      <c r="J658" s="717">
        <f t="shared" si="22"/>
        <v>4000</v>
      </c>
      <c r="K658" s="717">
        <v>10000</v>
      </c>
    </row>
    <row r="659" spans="1:11" s="510" customFormat="1" ht="74.25" hidden="1" customHeight="1">
      <c r="A659" s="1020" t="s">
        <v>1839</v>
      </c>
      <c r="B659" s="1022"/>
      <c r="C659" s="714" t="s">
        <v>1826</v>
      </c>
      <c r="D659" s="714">
        <v>10</v>
      </c>
      <c r="E659" s="725" t="s">
        <v>1830</v>
      </c>
      <c r="F659" s="1104"/>
      <c r="G659" s="1048"/>
      <c r="H659" s="1140"/>
      <c r="I659" s="717">
        <f t="shared" si="21"/>
        <v>12000</v>
      </c>
      <c r="J659" s="717">
        <f t="shared" si="22"/>
        <v>8000</v>
      </c>
      <c r="K659" s="717">
        <v>20000</v>
      </c>
    </row>
    <row r="660" spans="1:11" s="510" customFormat="1" ht="74.25" hidden="1" customHeight="1">
      <c r="A660" s="1020" t="s">
        <v>1840</v>
      </c>
      <c r="B660" s="1022"/>
      <c r="C660" s="714" t="s">
        <v>1828</v>
      </c>
      <c r="D660" s="714">
        <v>12</v>
      </c>
      <c r="E660" s="725" t="s">
        <v>1812</v>
      </c>
      <c r="F660" s="1104"/>
      <c r="G660" s="1048"/>
      <c r="H660" s="1140"/>
      <c r="I660" s="717">
        <f t="shared" si="21"/>
        <v>27000</v>
      </c>
      <c r="J660" s="717">
        <f t="shared" si="22"/>
        <v>18000</v>
      </c>
      <c r="K660" s="717">
        <v>45000</v>
      </c>
    </row>
    <row r="661" spans="1:11" s="510" customFormat="1" ht="74.25" hidden="1" customHeight="1">
      <c r="A661" s="1059" t="s">
        <v>1841</v>
      </c>
      <c r="B661" s="1061"/>
      <c r="C661" s="789" t="s">
        <v>1824</v>
      </c>
      <c r="D661" s="789">
        <v>4</v>
      </c>
      <c r="E661" s="790" t="s">
        <v>1829</v>
      </c>
      <c r="F661" s="830" t="s">
        <v>2241</v>
      </c>
      <c r="G661" s="1049"/>
      <c r="H661" s="1140"/>
      <c r="I661" s="717">
        <v>31515</v>
      </c>
      <c r="J661" s="717"/>
      <c r="K661" s="717">
        <f>I661+J661</f>
        <v>31515</v>
      </c>
    </row>
    <row r="662" spans="1:11" s="510" customFormat="1" ht="21.75" hidden="1" customHeight="1">
      <c r="A662" s="836"/>
      <c r="B662" s="837"/>
      <c r="C662" s="789"/>
      <c r="D662" s="789"/>
      <c r="E662" s="790"/>
      <c r="F662" s="830"/>
      <c r="G662" s="758"/>
      <c r="H662" s="756"/>
      <c r="I662" s="717"/>
      <c r="J662" s="717"/>
      <c r="K662" s="717"/>
    </row>
    <row r="663" spans="1:11" s="510" customFormat="1" ht="74.25" hidden="1" customHeight="1">
      <c r="A663" s="1008" t="s">
        <v>2475</v>
      </c>
      <c r="B663" s="1010"/>
      <c r="C663" s="818"/>
      <c r="D663" s="818"/>
      <c r="E663" s="821"/>
      <c r="F663" s="819"/>
      <c r="G663" s="810"/>
      <c r="H663" s="810"/>
      <c r="I663" s="817">
        <v>7421</v>
      </c>
      <c r="J663" s="817"/>
      <c r="K663" s="817">
        <f>I663+J663</f>
        <v>7421</v>
      </c>
    </row>
    <row r="664" spans="1:11" s="510" customFormat="1" ht="74.25" hidden="1" customHeight="1">
      <c r="A664" s="1096" t="s">
        <v>2474</v>
      </c>
      <c r="B664" s="1097"/>
      <c r="C664" s="814"/>
      <c r="D664" s="814"/>
      <c r="E664" s="822"/>
      <c r="F664" s="819"/>
      <c r="G664" s="819"/>
      <c r="H664" s="819"/>
      <c r="I664" s="817">
        <v>1255</v>
      </c>
      <c r="J664" s="817"/>
      <c r="K664" s="817">
        <f>I664+J664</f>
        <v>1255</v>
      </c>
    </row>
    <row r="665" spans="1:11" ht="48" hidden="1" customHeight="1">
      <c r="A665" s="1041" t="s">
        <v>2455</v>
      </c>
      <c r="B665" s="1041"/>
      <c r="C665" s="1042"/>
      <c r="D665" s="1042"/>
      <c r="E665" s="1042"/>
      <c r="F665" s="1042"/>
      <c r="G665" s="1042"/>
      <c r="H665" s="1042"/>
      <c r="I665" s="1042"/>
      <c r="J665" s="27"/>
      <c r="K665" s="27"/>
    </row>
    <row r="666" spans="1:11" ht="42" hidden="1" customHeight="1">
      <c r="A666" s="1041" t="s">
        <v>2456</v>
      </c>
      <c r="B666" s="1041"/>
      <c r="C666" s="1042"/>
      <c r="D666" s="1042"/>
      <c r="E666" s="1042"/>
      <c r="F666" s="1042"/>
      <c r="G666" s="1042"/>
      <c r="H666" s="1042"/>
      <c r="I666" s="1042"/>
      <c r="J666" s="27"/>
      <c r="K666" s="27"/>
    </row>
    <row r="667" spans="1:11" s="510" customFormat="1" ht="74.25" hidden="1" customHeight="1">
      <c r="A667" s="753"/>
      <c r="B667" s="753"/>
      <c r="C667" s="754"/>
      <c r="D667" s="754"/>
      <c r="E667" s="759"/>
      <c r="F667" s="755"/>
      <c r="G667" s="758"/>
      <c r="H667" s="756"/>
      <c r="I667" s="757"/>
      <c r="J667" s="757"/>
      <c r="K667" s="757"/>
    </row>
    <row r="668" spans="1:11" s="510" customFormat="1" ht="74.25" hidden="1" customHeight="1">
      <c r="A668" s="753"/>
      <c r="B668" s="753"/>
      <c r="C668" s="754"/>
      <c r="D668" s="754"/>
      <c r="E668" s="759"/>
      <c r="F668" s="755"/>
      <c r="G668" s="758"/>
      <c r="H668" s="756"/>
      <c r="I668" s="757"/>
      <c r="J668" s="757"/>
      <c r="K668" s="757"/>
    </row>
    <row r="669" spans="1:11" s="510" customFormat="1" ht="74.25" hidden="1" customHeight="1">
      <c r="A669" s="753"/>
      <c r="B669" s="753"/>
      <c r="C669" s="754"/>
      <c r="D669" s="754"/>
      <c r="E669" s="759"/>
      <c r="F669" s="755"/>
      <c r="G669" s="758"/>
      <c r="H669" s="756"/>
      <c r="I669" s="757"/>
      <c r="J669" s="757"/>
      <c r="K669" s="757"/>
    </row>
    <row r="670" spans="1:11" s="510" customFormat="1" ht="74.25" hidden="1" customHeight="1">
      <c r="A670" s="753"/>
      <c r="B670" s="753"/>
      <c r="C670" s="754"/>
      <c r="D670" s="754"/>
      <c r="E670" s="759"/>
      <c r="F670" s="755"/>
      <c r="G670" s="758"/>
      <c r="H670" s="756"/>
      <c r="I670" s="757"/>
      <c r="J670" s="757"/>
      <c r="K670" s="757"/>
    </row>
    <row r="671" spans="1:11" s="510" customFormat="1" ht="74.25" hidden="1" customHeight="1">
      <c r="A671" s="753"/>
      <c r="B671" s="753"/>
      <c r="C671" s="754"/>
      <c r="D671" s="754"/>
      <c r="E671" s="759"/>
      <c r="F671" s="755"/>
      <c r="G671" s="758"/>
      <c r="H671" s="756"/>
      <c r="I671" s="757"/>
      <c r="J671" s="757"/>
      <c r="K671" s="757"/>
    </row>
    <row r="672" spans="1:11" s="510" customFormat="1" ht="74.25" hidden="1" customHeight="1">
      <c r="A672" s="753"/>
      <c r="B672" s="753"/>
      <c r="C672" s="754"/>
      <c r="D672" s="754"/>
      <c r="E672" s="759"/>
      <c r="F672" s="755"/>
      <c r="G672" s="758"/>
      <c r="H672" s="756"/>
      <c r="I672" s="757"/>
      <c r="J672" s="757"/>
      <c r="K672" s="757"/>
    </row>
    <row r="673" spans="1:11" s="510" customFormat="1" ht="74.25" hidden="1" customHeight="1">
      <c r="A673" s="753"/>
      <c r="B673" s="753"/>
      <c r="C673" s="754"/>
      <c r="D673" s="754"/>
      <c r="E673" s="759"/>
      <c r="F673" s="755"/>
      <c r="G673" s="758"/>
      <c r="H673" s="756"/>
      <c r="I673" s="757"/>
      <c r="J673" s="757"/>
      <c r="K673" s="757"/>
    </row>
    <row r="674" spans="1:11" ht="34.5" hidden="1" customHeight="1">
      <c r="A674" s="1128" t="s">
        <v>51</v>
      </c>
      <c r="B674" s="1128"/>
      <c r="C674" s="1128"/>
      <c r="D674" s="1128"/>
      <c r="E674" s="1128"/>
      <c r="F674" s="1128"/>
      <c r="G674" s="1128"/>
      <c r="H674" s="1128"/>
      <c r="I674" s="1128"/>
      <c r="J674" s="1128"/>
      <c r="K674" s="1128"/>
    </row>
    <row r="675" spans="1:11" ht="30.75" hidden="1" customHeight="1">
      <c r="A675" s="1128" t="s">
        <v>52</v>
      </c>
      <c r="B675" s="1128"/>
      <c r="C675" s="1128"/>
      <c r="D675" s="1128"/>
      <c r="E675" s="1128"/>
      <c r="F675" s="1128"/>
      <c r="G675" s="1128"/>
      <c r="H675" s="1128"/>
      <c r="I675" s="1128"/>
      <c r="J675" s="1128"/>
      <c r="K675" s="1128"/>
    </row>
    <row r="676" spans="1:11" ht="33" hidden="1" customHeight="1">
      <c r="A676" s="1132" t="s">
        <v>50</v>
      </c>
      <c r="B676" s="1132"/>
      <c r="C676" s="1132"/>
      <c r="D676" s="1132"/>
      <c r="E676" s="1132"/>
      <c r="F676" s="1132"/>
      <c r="G676" s="1132"/>
      <c r="H676" s="1132"/>
      <c r="I676" s="1132"/>
      <c r="J676" s="1132"/>
      <c r="K676" s="1132"/>
    </row>
    <row r="677" spans="1:11" ht="33" hidden="1" customHeight="1">
      <c r="A677" s="154"/>
      <c r="B677" s="154"/>
      <c r="C677" s="154"/>
      <c r="D677" s="154"/>
      <c r="E677" s="154"/>
      <c r="F677" s="154"/>
      <c r="G677" s="707"/>
      <c r="H677" s="707"/>
      <c r="I677" s="707"/>
      <c r="J677" s="707"/>
      <c r="K677" s="707"/>
    </row>
    <row r="678" spans="1:11" ht="35.25" hidden="1">
      <c r="A678" s="1128" t="s">
        <v>1336</v>
      </c>
      <c r="B678" s="1128"/>
      <c r="C678" s="1128"/>
      <c r="D678" s="1128"/>
      <c r="E678" s="1128"/>
      <c r="F678" s="1128"/>
      <c r="G678" s="1128"/>
      <c r="H678" s="1128"/>
      <c r="I678" s="1128"/>
      <c r="J678" s="1128"/>
      <c r="K678" s="1128"/>
    </row>
    <row r="679" spans="1:11" s="620" customFormat="1" ht="33" hidden="1">
      <c r="A679" s="65"/>
      <c r="B679" s="65"/>
      <c r="C679" s="65"/>
      <c r="D679" s="65"/>
      <c r="E679" s="65"/>
      <c r="F679" s="65"/>
      <c r="G679" s="68"/>
      <c r="H679" s="68"/>
      <c r="I679" s="68"/>
      <c r="J679" s="68"/>
      <c r="K679" s="68"/>
    </row>
    <row r="680" spans="1:11" ht="20.100000000000001" hidden="1" customHeight="1">
      <c r="A680" s="65"/>
      <c r="B680" s="65"/>
      <c r="C680" s="65"/>
      <c r="D680" s="65"/>
      <c r="E680" s="65"/>
      <c r="F680" s="65"/>
      <c r="G680" s="68"/>
      <c r="H680" s="68"/>
      <c r="I680" s="68"/>
      <c r="J680" s="68"/>
      <c r="K680" s="68"/>
    </row>
    <row r="681" spans="1:11" ht="20.100000000000001" hidden="1" customHeight="1">
      <c r="A681" s="979"/>
      <c r="B681" s="979"/>
      <c r="C681" s="979"/>
      <c r="D681" s="979"/>
      <c r="E681" s="979"/>
      <c r="F681" s="979"/>
      <c r="G681" s="979"/>
      <c r="H681" s="979"/>
      <c r="I681" s="979"/>
      <c r="J681" s="979"/>
      <c r="K681" s="979"/>
    </row>
    <row r="682" spans="1:11" ht="45.75" hidden="1" customHeight="1">
      <c r="A682" s="1030" t="s">
        <v>1381</v>
      </c>
      <c r="B682" s="1030"/>
      <c r="C682" s="1030"/>
      <c r="D682" s="1030"/>
      <c r="E682" s="1030"/>
      <c r="F682" s="1030"/>
      <c r="G682" s="1030"/>
      <c r="H682" s="1030"/>
      <c r="I682" s="1030"/>
      <c r="J682" s="1030"/>
      <c r="K682" s="1030"/>
    </row>
    <row r="683" spans="1:11" ht="66" hidden="1" customHeight="1">
      <c r="A683" s="1031" t="s">
        <v>37</v>
      </c>
      <c r="B683" s="1033"/>
      <c r="C683" s="1037" t="s">
        <v>178</v>
      </c>
      <c r="D683" s="1037" t="s">
        <v>179</v>
      </c>
      <c r="E683" s="1037" t="s">
        <v>1521</v>
      </c>
      <c r="F683" s="1037" t="s">
        <v>14</v>
      </c>
      <c r="G683" s="1037" t="s">
        <v>1515</v>
      </c>
      <c r="H683" s="1037" t="s">
        <v>16</v>
      </c>
      <c r="I683" s="1039" t="s">
        <v>1490</v>
      </c>
      <c r="J683" s="1039" t="s">
        <v>2203</v>
      </c>
      <c r="K683" s="1037" t="s">
        <v>200</v>
      </c>
    </row>
    <row r="684" spans="1:11" s="500" customFormat="1" ht="30" hidden="1">
      <c r="A684" s="1034"/>
      <c r="B684" s="1036"/>
      <c r="C684" s="1038"/>
      <c r="D684" s="1038"/>
      <c r="E684" s="1038"/>
      <c r="F684" s="1038"/>
      <c r="G684" s="1038"/>
      <c r="H684" s="1038"/>
      <c r="I684" s="1039"/>
      <c r="J684" s="1039"/>
      <c r="K684" s="1038"/>
    </row>
    <row r="685" spans="1:11" s="500" customFormat="1" ht="74.25" hidden="1" customHeight="1">
      <c r="A685" s="1102" t="s">
        <v>1780</v>
      </c>
      <c r="B685" s="1103"/>
      <c r="C685" s="729"/>
      <c r="D685" s="729"/>
      <c r="E685" s="726"/>
      <c r="F685" s="727"/>
      <c r="G685" s="728"/>
      <c r="H685" s="728"/>
      <c r="I685" s="642">
        <f>I686+I693+I695</f>
        <v>69870.600000000006</v>
      </c>
      <c r="J685" s="642">
        <f>J686+J693+J695</f>
        <v>46580.4</v>
      </c>
      <c r="K685" s="642">
        <f>I685+J685</f>
        <v>116451</v>
      </c>
    </row>
    <row r="686" spans="1:11" ht="75" hidden="1" customHeight="1">
      <c r="A686" s="1011" t="s">
        <v>1541</v>
      </c>
      <c r="B686" s="1013"/>
      <c r="C686" s="709"/>
      <c r="D686" s="709"/>
      <c r="E686" s="709"/>
      <c r="F686" s="708"/>
      <c r="G686" s="709"/>
      <c r="H686" s="710"/>
      <c r="I686" s="545">
        <f>SUM(I687:I692)</f>
        <v>59370.600000000006</v>
      </c>
      <c r="J686" s="545">
        <f>SUM(J687:J692)</f>
        <v>39580.400000000001</v>
      </c>
      <c r="K686" s="545">
        <f>I686+J686</f>
        <v>98951</v>
      </c>
    </row>
    <row r="687" spans="1:11" s="510" customFormat="1" ht="74.25" hidden="1" customHeight="1">
      <c r="A687" s="1020" t="s">
        <v>2245</v>
      </c>
      <c r="B687" s="1022"/>
      <c r="C687" s="714" t="s">
        <v>1785</v>
      </c>
      <c r="D687" s="714">
        <v>8</v>
      </c>
      <c r="E687" s="725" t="s">
        <v>1786</v>
      </c>
      <c r="F687" s="829" t="s">
        <v>2229</v>
      </c>
      <c r="G687" s="1047">
        <v>8100</v>
      </c>
      <c r="H687" s="1099" t="s">
        <v>2273</v>
      </c>
      <c r="I687" s="717">
        <f t="shared" ref="I687:I692" si="23">K687/100*60</f>
        <v>9000</v>
      </c>
      <c r="J687" s="717">
        <f t="shared" ref="J687:J692" si="24">K687/100*40</f>
        <v>6000</v>
      </c>
      <c r="K687" s="717">
        <v>15000</v>
      </c>
    </row>
    <row r="688" spans="1:11" s="510" customFormat="1" ht="75" hidden="1" customHeight="1">
      <c r="A688" s="1020" t="s">
        <v>1781</v>
      </c>
      <c r="B688" s="1022"/>
      <c r="C688" s="714" t="s">
        <v>1787</v>
      </c>
      <c r="D688" s="714">
        <v>3</v>
      </c>
      <c r="E688" s="725" t="s">
        <v>1788</v>
      </c>
      <c r="F688" s="829" t="s">
        <v>2230</v>
      </c>
      <c r="G688" s="1048"/>
      <c r="H688" s="1100"/>
      <c r="I688" s="717">
        <f t="shared" si="23"/>
        <v>34027.800000000003</v>
      </c>
      <c r="J688" s="717">
        <f t="shared" si="24"/>
        <v>22685.200000000001</v>
      </c>
      <c r="K688" s="717">
        <v>56713</v>
      </c>
    </row>
    <row r="689" spans="1:11" s="510" customFormat="1" ht="75" hidden="1" customHeight="1">
      <c r="A689" s="1020" t="s">
        <v>1782</v>
      </c>
      <c r="B689" s="1022"/>
      <c r="C689" s="714" t="s">
        <v>1789</v>
      </c>
      <c r="D689" s="744">
        <v>4</v>
      </c>
      <c r="E689" s="725" t="s">
        <v>1790</v>
      </c>
      <c r="F689" s="1044" t="s">
        <v>2231</v>
      </c>
      <c r="G689" s="1048"/>
      <c r="H689" s="1100"/>
      <c r="I689" s="717">
        <f t="shared" si="23"/>
        <v>4200</v>
      </c>
      <c r="J689" s="717">
        <f t="shared" si="24"/>
        <v>2800</v>
      </c>
      <c r="K689" s="717">
        <v>7000</v>
      </c>
    </row>
    <row r="690" spans="1:11" s="510" customFormat="1" ht="75" hidden="1" customHeight="1">
      <c r="A690" s="1020" t="s">
        <v>1783</v>
      </c>
      <c r="B690" s="1022"/>
      <c r="C690" s="714" t="s">
        <v>1791</v>
      </c>
      <c r="D690" s="714">
        <v>12</v>
      </c>
      <c r="E690" s="725" t="s">
        <v>1792</v>
      </c>
      <c r="F690" s="1045"/>
      <c r="G690" s="1048"/>
      <c r="H690" s="1100"/>
      <c r="I690" s="717">
        <f t="shared" si="23"/>
        <v>2542.8000000000002</v>
      </c>
      <c r="J690" s="717">
        <f t="shared" si="24"/>
        <v>1695.2</v>
      </c>
      <c r="K690" s="717">
        <v>4238</v>
      </c>
    </row>
    <row r="691" spans="1:11" s="510" customFormat="1" ht="75" hidden="1" customHeight="1">
      <c r="A691" s="1020" t="s">
        <v>1784</v>
      </c>
      <c r="B691" s="1022"/>
      <c r="C691" s="714" t="s">
        <v>1791</v>
      </c>
      <c r="D691" s="714">
        <v>10</v>
      </c>
      <c r="E691" s="725" t="s">
        <v>1793</v>
      </c>
      <c r="F691" s="1045"/>
      <c r="G691" s="1048"/>
      <c r="H691" s="1100"/>
      <c r="I691" s="717">
        <f t="shared" si="23"/>
        <v>2400</v>
      </c>
      <c r="J691" s="717">
        <f t="shared" si="24"/>
        <v>1600</v>
      </c>
      <c r="K691" s="717">
        <v>4000</v>
      </c>
    </row>
    <row r="692" spans="1:11" s="510" customFormat="1" ht="75" hidden="1" customHeight="1">
      <c r="A692" s="1020" t="s">
        <v>1496</v>
      </c>
      <c r="B692" s="1022"/>
      <c r="C692" s="714" t="s">
        <v>1794</v>
      </c>
      <c r="D692" s="714">
        <v>20</v>
      </c>
      <c r="E692" s="725" t="s">
        <v>1795</v>
      </c>
      <c r="F692" s="1046"/>
      <c r="G692" s="1048"/>
      <c r="H692" s="1100"/>
      <c r="I692" s="717">
        <f t="shared" si="23"/>
        <v>7200</v>
      </c>
      <c r="J692" s="717">
        <f t="shared" si="24"/>
        <v>4800</v>
      </c>
      <c r="K692" s="717">
        <v>12000</v>
      </c>
    </row>
    <row r="693" spans="1:11" ht="74.25" hidden="1" customHeight="1">
      <c r="A693" s="1011" t="s">
        <v>278</v>
      </c>
      <c r="B693" s="1013"/>
      <c r="C693" s="504"/>
      <c r="D693" s="709"/>
      <c r="E693" s="709"/>
      <c r="F693" s="708"/>
      <c r="G693" s="709"/>
      <c r="H693" s="710"/>
      <c r="I693" s="545">
        <f>SUM(I694)</f>
        <v>3000</v>
      </c>
      <c r="J693" s="545">
        <f>SUM(J694)</f>
        <v>2000</v>
      </c>
      <c r="K693" s="545">
        <f>I693+J693</f>
        <v>5000</v>
      </c>
    </row>
    <row r="694" spans="1:11" s="510" customFormat="1" ht="74.25" hidden="1" customHeight="1">
      <c r="A694" s="1020" t="s">
        <v>1796</v>
      </c>
      <c r="B694" s="1022"/>
      <c r="C694" s="714" t="s">
        <v>18</v>
      </c>
      <c r="D694" s="714">
        <v>10</v>
      </c>
      <c r="E694" s="725" t="s">
        <v>1797</v>
      </c>
      <c r="F694" s="833" t="s">
        <v>2234</v>
      </c>
      <c r="G694" s="835">
        <v>8100</v>
      </c>
      <c r="H694" s="834" t="s">
        <v>2445</v>
      </c>
      <c r="I694" s="717">
        <f>K694/100*60</f>
        <v>3000</v>
      </c>
      <c r="J694" s="717">
        <f>K694/100*40</f>
        <v>2000</v>
      </c>
      <c r="K694" s="717">
        <v>5000</v>
      </c>
    </row>
    <row r="695" spans="1:11" ht="73.5" hidden="1" customHeight="1">
      <c r="A695" s="1011" t="s">
        <v>312</v>
      </c>
      <c r="B695" s="1013"/>
      <c r="C695" s="709"/>
      <c r="D695" s="709"/>
      <c r="E695" s="709"/>
      <c r="F695" s="708"/>
      <c r="G695" s="709"/>
      <c r="H695" s="710"/>
      <c r="I695" s="545">
        <f>SUM(I696:I697)</f>
        <v>7500</v>
      </c>
      <c r="J695" s="545">
        <f>SUM(J696:J697)</f>
        <v>5000</v>
      </c>
      <c r="K695" s="545">
        <f>I695+J695</f>
        <v>12500</v>
      </c>
    </row>
    <row r="696" spans="1:11" s="510" customFormat="1" ht="74.25" hidden="1" customHeight="1">
      <c r="A696" s="1020" t="s">
        <v>1798</v>
      </c>
      <c r="B696" s="1022"/>
      <c r="C696" s="714" t="s">
        <v>138</v>
      </c>
      <c r="D696" s="714">
        <v>10</v>
      </c>
      <c r="E696" s="725" t="s">
        <v>1800</v>
      </c>
      <c r="F696" s="1044" t="s">
        <v>2224</v>
      </c>
      <c r="G696" s="1047">
        <v>8100</v>
      </c>
      <c r="H696" s="1099" t="s">
        <v>2273</v>
      </c>
      <c r="I696" s="717">
        <f>K696/100*60</f>
        <v>3000</v>
      </c>
      <c r="J696" s="717">
        <f>K696/100*40</f>
        <v>2000</v>
      </c>
      <c r="K696" s="717">
        <v>5000</v>
      </c>
    </row>
    <row r="697" spans="1:11" s="510" customFormat="1" ht="74.25" hidden="1" customHeight="1">
      <c r="A697" s="1020" t="s">
        <v>1799</v>
      </c>
      <c r="B697" s="1022"/>
      <c r="C697" s="714" t="s">
        <v>1801</v>
      </c>
      <c r="D697" s="714">
        <v>1</v>
      </c>
      <c r="E697" s="725" t="s">
        <v>1802</v>
      </c>
      <c r="F697" s="1046"/>
      <c r="G697" s="1048"/>
      <c r="H697" s="1100"/>
      <c r="I697" s="717">
        <f>K697/100*60</f>
        <v>4500</v>
      </c>
      <c r="J697" s="717">
        <f>K697/100*40</f>
        <v>3000</v>
      </c>
      <c r="K697" s="717">
        <v>7500</v>
      </c>
    </row>
    <row r="698" spans="1:11" ht="96.75" hidden="1" customHeight="1">
      <c r="A698" s="1141"/>
      <c r="B698" s="1141"/>
      <c r="C698" s="1141"/>
      <c r="D698" s="1141"/>
      <c r="E698" s="1141"/>
      <c r="F698" s="1141"/>
      <c r="G698" s="1141"/>
      <c r="H698" s="1141"/>
      <c r="I698" s="1141"/>
      <c r="J698" s="1141"/>
      <c r="K698" s="1141"/>
    </row>
    <row r="699" spans="1:11" ht="96.75" hidden="1" customHeight="1">
      <c r="A699" s="753"/>
      <c r="B699" s="753"/>
      <c r="C699" s="753"/>
      <c r="D699" s="753"/>
      <c r="E699" s="753"/>
      <c r="F699" s="753"/>
      <c r="G699" s="753"/>
      <c r="H699" s="753"/>
      <c r="I699" s="753"/>
      <c r="J699" s="753"/>
      <c r="K699" s="753"/>
    </row>
    <row r="700" spans="1:11" ht="96.75" hidden="1" customHeight="1">
      <c r="A700" s="753"/>
      <c r="B700" s="753"/>
      <c r="C700" s="753"/>
      <c r="D700" s="753"/>
      <c r="E700" s="753"/>
      <c r="F700" s="753"/>
      <c r="G700" s="753"/>
      <c r="H700" s="753"/>
      <c r="I700" s="753"/>
      <c r="J700" s="753"/>
      <c r="K700" s="753"/>
    </row>
    <row r="701" spans="1:11" ht="96.75" hidden="1" customHeight="1">
      <c r="A701" s="753"/>
      <c r="B701" s="753"/>
      <c r="C701" s="753"/>
      <c r="D701" s="753"/>
      <c r="E701" s="753"/>
      <c r="F701" s="753"/>
      <c r="G701" s="753"/>
      <c r="H701" s="753"/>
      <c r="I701" s="753"/>
      <c r="J701" s="753"/>
      <c r="K701" s="753"/>
    </row>
    <row r="702" spans="1:11" ht="96.75" hidden="1" customHeight="1">
      <c r="A702" s="753"/>
      <c r="B702" s="753"/>
      <c r="C702" s="753"/>
      <c r="D702" s="753"/>
      <c r="E702" s="753"/>
      <c r="F702" s="753"/>
      <c r="G702" s="753"/>
      <c r="H702" s="753"/>
      <c r="I702" s="753"/>
      <c r="J702" s="753"/>
      <c r="K702" s="753"/>
    </row>
    <row r="703" spans="1:11" ht="96.75" hidden="1" customHeight="1">
      <c r="A703" s="753"/>
      <c r="B703" s="753"/>
      <c r="C703" s="753"/>
      <c r="D703" s="753"/>
      <c r="E703" s="753"/>
      <c r="F703" s="753"/>
      <c r="G703" s="753"/>
      <c r="H703" s="753"/>
      <c r="I703" s="753"/>
      <c r="J703" s="753"/>
      <c r="K703" s="753"/>
    </row>
    <row r="704" spans="1:11" ht="96.75" hidden="1" customHeight="1">
      <c r="A704" s="753"/>
      <c r="B704" s="753"/>
      <c r="C704" s="753"/>
      <c r="D704" s="753"/>
      <c r="E704" s="753"/>
      <c r="F704" s="753"/>
      <c r="G704" s="753"/>
      <c r="H704" s="753"/>
      <c r="I704" s="753"/>
      <c r="J704" s="753"/>
      <c r="K704" s="753"/>
    </row>
    <row r="705" spans="1:11" ht="96.75" hidden="1" customHeight="1">
      <c r="A705" s="753"/>
      <c r="B705" s="753"/>
      <c r="C705" s="753"/>
      <c r="D705" s="753"/>
      <c r="E705" s="753"/>
      <c r="F705" s="753"/>
      <c r="G705" s="753"/>
      <c r="H705" s="753"/>
      <c r="I705" s="753"/>
      <c r="J705" s="753"/>
      <c r="K705" s="753"/>
    </row>
    <row r="706" spans="1:11" ht="96.75" hidden="1" customHeight="1">
      <c r="A706" s="753"/>
      <c r="B706" s="753"/>
      <c r="C706" s="753"/>
      <c r="D706" s="753"/>
      <c r="E706" s="753"/>
      <c r="F706" s="753"/>
      <c r="G706" s="753"/>
      <c r="H706" s="753"/>
      <c r="I706" s="753"/>
      <c r="J706" s="753"/>
      <c r="K706" s="753"/>
    </row>
    <row r="707" spans="1:11" ht="96.75" hidden="1" customHeight="1">
      <c r="A707" s="753"/>
      <c r="B707" s="753"/>
      <c r="C707" s="753"/>
      <c r="D707" s="753"/>
      <c r="E707" s="753"/>
      <c r="F707" s="753"/>
      <c r="G707" s="753"/>
      <c r="H707" s="753"/>
      <c r="I707" s="753"/>
      <c r="J707" s="753"/>
      <c r="K707" s="753"/>
    </row>
    <row r="708" spans="1:11" ht="96.75" hidden="1" customHeight="1">
      <c r="A708" s="753"/>
      <c r="B708" s="753"/>
      <c r="C708" s="753"/>
      <c r="D708" s="753"/>
      <c r="E708" s="753"/>
      <c r="F708" s="753"/>
      <c r="G708" s="753"/>
      <c r="H708" s="753"/>
      <c r="I708" s="753"/>
      <c r="J708" s="753"/>
      <c r="K708" s="753"/>
    </row>
    <row r="709" spans="1:11" ht="96.75" hidden="1" customHeight="1">
      <c r="A709" s="753"/>
      <c r="B709" s="753"/>
      <c r="C709" s="753"/>
      <c r="D709" s="753"/>
      <c r="E709" s="753"/>
      <c r="F709" s="753"/>
      <c r="G709" s="753"/>
      <c r="H709" s="753"/>
      <c r="I709" s="753"/>
      <c r="J709" s="753"/>
      <c r="K709" s="753"/>
    </row>
    <row r="710" spans="1:11" ht="96.75" hidden="1" customHeight="1">
      <c r="A710" s="753"/>
      <c r="B710" s="753"/>
      <c r="C710" s="753"/>
      <c r="D710" s="753"/>
      <c r="E710" s="753"/>
      <c r="F710" s="753"/>
      <c r="G710" s="753"/>
      <c r="H710" s="753"/>
      <c r="I710" s="753"/>
      <c r="J710" s="753"/>
      <c r="K710" s="753"/>
    </row>
    <row r="711" spans="1:11" ht="96.75" hidden="1" customHeight="1">
      <c r="A711" s="753"/>
      <c r="B711" s="753"/>
      <c r="C711" s="753"/>
      <c r="D711" s="753"/>
      <c r="E711" s="753"/>
      <c r="F711" s="753"/>
      <c r="G711" s="753"/>
      <c r="H711" s="753"/>
      <c r="I711" s="753"/>
      <c r="J711" s="753"/>
      <c r="K711" s="753"/>
    </row>
    <row r="712" spans="1:11" ht="34.5" hidden="1" customHeight="1">
      <c r="A712" s="1128" t="s">
        <v>51</v>
      </c>
      <c r="B712" s="1128"/>
      <c r="C712" s="1128"/>
      <c r="D712" s="1128"/>
      <c r="E712" s="1128"/>
      <c r="F712" s="1128"/>
      <c r="G712" s="1128"/>
      <c r="H712" s="1128"/>
      <c r="I712" s="1128"/>
      <c r="J712" s="1128"/>
      <c r="K712" s="1128"/>
    </row>
    <row r="713" spans="1:11" ht="30.75" hidden="1" customHeight="1">
      <c r="A713" s="1128" t="s">
        <v>52</v>
      </c>
      <c r="B713" s="1128"/>
      <c r="C713" s="1128"/>
      <c r="D713" s="1128"/>
      <c r="E713" s="1128"/>
      <c r="F713" s="1128"/>
      <c r="G713" s="1128"/>
      <c r="H713" s="1128"/>
      <c r="I713" s="1128"/>
      <c r="J713" s="1128"/>
      <c r="K713" s="1128"/>
    </row>
    <row r="714" spans="1:11" ht="33" hidden="1" customHeight="1">
      <c r="A714" s="1132" t="s">
        <v>50</v>
      </c>
      <c r="B714" s="1132"/>
      <c r="C714" s="1132"/>
      <c r="D714" s="1132"/>
      <c r="E714" s="1132"/>
      <c r="F714" s="1132"/>
      <c r="G714" s="1132"/>
      <c r="H714" s="1132"/>
      <c r="I714" s="1132"/>
      <c r="J714" s="1132"/>
      <c r="K714" s="1132"/>
    </row>
    <row r="715" spans="1:11" ht="33" hidden="1" customHeight="1">
      <c r="A715" s="154"/>
      <c r="B715" s="154"/>
      <c r="C715" s="154"/>
      <c r="D715" s="154"/>
      <c r="E715" s="154"/>
      <c r="F715" s="154"/>
      <c r="G715" s="707"/>
      <c r="H715" s="707"/>
      <c r="I715" s="707"/>
      <c r="J715" s="707"/>
      <c r="K715" s="707"/>
    </row>
    <row r="716" spans="1:11" ht="35.25" hidden="1">
      <c r="A716" s="1128" t="s">
        <v>1336</v>
      </c>
      <c r="B716" s="1128"/>
      <c r="C716" s="1128"/>
      <c r="D716" s="1128"/>
      <c r="E716" s="1128"/>
      <c r="F716" s="1128"/>
      <c r="G716" s="1128"/>
      <c r="H716" s="1128"/>
      <c r="I716" s="1128"/>
      <c r="J716" s="1128"/>
      <c r="K716" s="1128"/>
    </row>
    <row r="717" spans="1:11" s="620" customFormat="1" ht="33" hidden="1">
      <c r="A717" s="65"/>
      <c r="B717" s="65"/>
      <c r="C717" s="65"/>
      <c r="D717" s="65"/>
      <c r="E717" s="65"/>
      <c r="F717" s="65"/>
      <c r="G717" s="68"/>
      <c r="H717" s="68"/>
      <c r="I717" s="68"/>
      <c r="J717" s="68"/>
      <c r="K717" s="68"/>
    </row>
    <row r="718" spans="1:11" ht="20.100000000000001" hidden="1" customHeight="1">
      <c r="A718" s="65"/>
      <c r="B718" s="65"/>
      <c r="C718" s="65"/>
      <c r="D718" s="65"/>
      <c r="E718" s="65"/>
      <c r="F718" s="65"/>
      <c r="G718" s="68"/>
      <c r="H718" s="68"/>
      <c r="I718" s="68"/>
      <c r="J718" s="68"/>
      <c r="K718" s="68"/>
    </row>
    <row r="719" spans="1:11" ht="20.100000000000001" hidden="1" customHeight="1">
      <c r="A719" s="979"/>
      <c r="B719" s="979"/>
      <c r="C719" s="979"/>
      <c r="D719" s="979"/>
      <c r="E719" s="979"/>
      <c r="F719" s="979"/>
      <c r="G719" s="979"/>
      <c r="H719" s="979"/>
      <c r="I719" s="979"/>
      <c r="J719" s="979"/>
      <c r="K719" s="979"/>
    </row>
    <row r="720" spans="1:11" ht="45.75" hidden="1" customHeight="1">
      <c r="A720" s="1030" t="s">
        <v>1382</v>
      </c>
      <c r="B720" s="1030"/>
      <c r="C720" s="1030"/>
      <c r="D720" s="1030"/>
      <c r="E720" s="1030"/>
      <c r="F720" s="1030"/>
      <c r="G720" s="1030"/>
      <c r="H720" s="1030"/>
      <c r="I720" s="1030"/>
      <c r="J720" s="1030"/>
      <c r="K720" s="1030"/>
    </row>
    <row r="721" spans="1:11" ht="66" hidden="1" customHeight="1">
      <c r="A721" s="1031" t="s">
        <v>37</v>
      </c>
      <c r="B721" s="1033"/>
      <c r="C721" s="1037" t="s">
        <v>178</v>
      </c>
      <c r="D721" s="1037" t="s">
        <v>179</v>
      </c>
      <c r="E721" s="1037" t="s">
        <v>1521</v>
      </c>
      <c r="F721" s="1037" t="s">
        <v>14</v>
      </c>
      <c r="G721" s="1037" t="s">
        <v>1515</v>
      </c>
      <c r="H721" s="1037" t="s">
        <v>16</v>
      </c>
      <c r="I721" s="1039" t="s">
        <v>1490</v>
      </c>
      <c r="J721" s="1039" t="s">
        <v>2203</v>
      </c>
      <c r="K721" s="1037" t="s">
        <v>200</v>
      </c>
    </row>
    <row r="722" spans="1:11" s="500" customFormat="1" ht="30" hidden="1">
      <c r="A722" s="1034"/>
      <c r="B722" s="1036"/>
      <c r="C722" s="1038"/>
      <c r="D722" s="1038"/>
      <c r="E722" s="1038"/>
      <c r="F722" s="1038"/>
      <c r="G722" s="1038"/>
      <c r="H722" s="1038"/>
      <c r="I722" s="1039"/>
      <c r="J722" s="1039"/>
      <c r="K722" s="1038"/>
    </row>
    <row r="723" spans="1:11" s="500" customFormat="1" ht="74.25" hidden="1" customHeight="1">
      <c r="A723" s="1137" t="s">
        <v>1970</v>
      </c>
      <c r="B723" s="1138"/>
      <c r="C723" s="729"/>
      <c r="D723" s="729"/>
      <c r="E723" s="726"/>
      <c r="F723" s="727"/>
      <c r="G723" s="728"/>
      <c r="H723" s="728"/>
      <c r="I723" s="642">
        <f>I724+I731+I729</f>
        <v>108133.20000000001</v>
      </c>
      <c r="J723" s="642">
        <f>J724+J731+J729</f>
        <v>72088.799999999988</v>
      </c>
      <c r="K723" s="642">
        <f>I723+J723</f>
        <v>180222</v>
      </c>
    </row>
    <row r="724" spans="1:11" ht="75" hidden="1" customHeight="1">
      <c r="A724" s="1011" t="s">
        <v>1541</v>
      </c>
      <c r="B724" s="1013"/>
      <c r="C724" s="709"/>
      <c r="D724" s="709"/>
      <c r="E724" s="709"/>
      <c r="F724" s="708"/>
      <c r="G724" s="709"/>
      <c r="H724" s="710"/>
      <c r="I724" s="545">
        <f>SUM(I725:I728)</f>
        <v>33599.4</v>
      </c>
      <c r="J724" s="545">
        <f>SUM(J725:J728)</f>
        <v>22399.599999999999</v>
      </c>
      <c r="K724" s="545">
        <f>I724+J724</f>
        <v>55999</v>
      </c>
    </row>
    <row r="725" spans="1:11" s="510" customFormat="1" ht="75" hidden="1" customHeight="1">
      <c r="A725" s="1020" t="s">
        <v>1972</v>
      </c>
      <c r="B725" s="1022"/>
      <c r="C725" s="714" t="s">
        <v>1976</v>
      </c>
      <c r="D725" s="714">
        <v>17</v>
      </c>
      <c r="E725" s="714" t="s">
        <v>1977</v>
      </c>
      <c r="F725" s="829" t="s">
        <v>2246</v>
      </c>
      <c r="G725" s="1047">
        <v>8100</v>
      </c>
      <c r="H725" s="1099" t="s">
        <v>2273</v>
      </c>
      <c r="I725" s="717">
        <f>K725/100*60</f>
        <v>15300</v>
      </c>
      <c r="J725" s="717">
        <f>K725/100*40</f>
        <v>10200</v>
      </c>
      <c r="K725" s="717">
        <v>25500</v>
      </c>
    </row>
    <row r="726" spans="1:11" s="510" customFormat="1" ht="75" hidden="1" customHeight="1">
      <c r="A726" s="1020" t="s">
        <v>1606</v>
      </c>
      <c r="B726" s="1022"/>
      <c r="C726" s="714" t="s">
        <v>1623</v>
      </c>
      <c r="D726" s="714">
        <v>50</v>
      </c>
      <c r="E726" s="714" t="s">
        <v>1978</v>
      </c>
      <c r="F726" s="829" t="s">
        <v>2247</v>
      </c>
      <c r="G726" s="1048"/>
      <c r="H726" s="1100"/>
      <c r="I726" s="717">
        <f>K726/100*60</f>
        <v>7799.4000000000005</v>
      </c>
      <c r="J726" s="717">
        <f>K726/100*40</f>
        <v>5199.6000000000004</v>
      </c>
      <c r="K726" s="717">
        <v>12999</v>
      </c>
    </row>
    <row r="727" spans="1:11" s="510" customFormat="1" ht="75" hidden="1" customHeight="1">
      <c r="A727" s="1020" t="s">
        <v>1973</v>
      </c>
      <c r="B727" s="1022"/>
      <c r="C727" s="714" t="s">
        <v>1934</v>
      </c>
      <c r="D727" s="714">
        <v>22</v>
      </c>
      <c r="E727" s="714" t="s">
        <v>1979</v>
      </c>
      <c r="F727" s="1104" t="s">
        <v>2248</v>
      </c>
      <c r="G727" s="1048"/>
      <c r="H727" s="1100"/>
      <c r="I727" s="717">
        <f>K727/100*60</f>
        <v>9600</v>
      </c>
      <c r="J727" s="717">
        <f>K727/100*40</f>
        <v>6400</v>
      </c>
      <c r="K727" s="717">
        <v>16000</v>
      </c>
    </row>
    <row r="728" spans="1:11" s="510" customFormat="1" ht="75" hidden="1" customHeight="1">
      <c r="A728" s="1020" t="s">
        <v>1974</v>
      </c>
      <c r="B728" s="1022"/>
      <c r="C728" s="714" t="s">
        <v>1863</v>
      </c>
      <c r="D728" s="714">
        <v>1</v>
      </c>
      <c r="E728" s="714" t="s">
        <v>1979</v>
      </c>
      <c r="F728" s="1104"/>
      <c r="G728" s="1048"/>
      <c r="H728" s="1100"/>
      <c r="I728" s="717">
        <f>K728/100*60</f>
        <v>900</v>
      </c>
      <c r="J728" s="717">
        <f>K728/100*40</f>
        <v>600</v>
      </c>
      <c r="K728" s="717">
        <v>1500</v>
      </c>
    </row>
    <row r="729" spans="1:11" ht="73.5" hidden="1" customHeight="1">
      <c r="A729" s="1011" t="s">
        <v>278</v>
      </c>
      <c r="B729" s="1013"/>
      <c r="C729" s="709"/>
      <c r="D729" s="709"/>
      <c r="E729" s="709"/>
      <c r="F729" s="708"/>
      <c r="G729" s="709"/>
      <c r="H729" s="710"/>
      <c r="I729" s="545">
        <f>SUM(I730:I730)</f>
        <v>3000</v>
      </c>
      <c r="J729" s="545">
        <f>SUM(J730:J730)</f>
        <v>2000</v>
      </c>
      <c r="K729" s="545">
        <f>I729+J729</f>
        <v>5000</v>
      </c>
    </row>
    <row r="730" spans="1:11" s="510" customFormat="1" ht="74.25" hidden="1" customHeight="1">
      <c r="A730" s="1020" t="s">
        <v>1971</v>
      </c>
      <c r="B730" s="1022"/>
      <c r="C730" s="714" t="s">
        <v>1215</v>
      </c>
      <c r="D730" s="714">
        <v>6</v>
      </c>
      <c r="E730" s="714" t="s">
        <v>1980</v>
      </c>
      <c r="F730" s="833" t="s">
        <v>2235</v>
      </c>
      <c r="G730" s="827">
        <v>8100</v>
      </c>
      <c r="H730" s="834" t="s">
        <v>2445</v>
      </c>
      <c r="I730" s="717">
        <f>K730/100*60</f>
        <v>3000</v>
      </c>
      <c r="J730" s="717">
        <f>K730/100*40</f>
        <v>2000</v>
      </c>
      <c r="K730" s="717">
        <v>5000</v>
      </c>
    </row>
    <row r="731" spans="1:11" ht="73.5" hidden="1" customHeight="1">
      <c r="A731" s="1011" t="s">
        <v>307</v>
      </c>
      <c r="B731" s="1013"/>
      <c r="C731" s="709"/>
      <c r="D731" s="709"/>
      <c r="E731" s="709"/>
      <c r="F731" s="708"/>
      <c r="G731" s="709"/>
      <c r="H731" s="710"/>
      <c r="I731" s="545">
        <f>SUM(I732:I732)</f>
        <v>71533.8</v>
      </c>
      <c r="J731" s="545">
        <f>SUM(J732:J732)</f>
        <v>47689.2</v>
      </c>
      <c r="K731" s="545">
        <f>I731+J731</f>
        <v>119223</v>
      </c>
    </row>
    <row r="732" spans="1:11" s="510" customFormat="1" ht="74.25" hidden="1" customHeight="1">
      <c r="A732" s="1020" t="s">
        <v>1975</v>
      </c>
      <c r="B732" s="1022"/>
      <c r="C732" s="714" t="s">
        <v>147</v>
      </c>
      <c r="D732" s="744">
        <v>1138</v>
      </c>
      <c r="E732" s="714" t="s">
        <v>1981</v>
      </c>
      <c r="F732" s="829" t="s">
        <v>1183</v>
      </c>
      <c r="G732" s="827">
        <v>8100</v>
      </c>
      <c r="H732" s="828" t="s">
        <v>2273</v>
      </c>
      <c r="I732" s="717">
        <f>K732/100*60</f>
        <v>71533.8</v>
      </c>
      <c r="J732" s="717">
        <f>K732/100*40</f>
        <v>47689.2</v>
      </c>
      <c r="K732" s="717">
        <v>119223</v>
      </c>
    </row>
    <row r="733" spans="1:11" s="743" customFormat="1" ht="36.75" hidden="1" customHeight="1">
      <c r="A733" s="1135"/>
      <c r="B733" s="1136"/>
      <c r="C733" s="738"/>
      <c r="D733" s="738"/>
      <c r="E733" s="739"/>
      <c r="F733" s="740"/>
      <c r="G733" s="741"/>
      <c r="H733" s="741"/>
      <c r="I733" s="742"/>
      <c r="J733" s="742"/>
      <c r="K733" s="742"/>
    </row>
    <row r="734" spans="1:11" ht="66" hidden="1" customHeight="1">
      <c r="A734" s="1031" t="s">
        <v>37</v>
      </c>
      <c r="B734" s="1033"/>
      <c r="C734" s="1037" t="s">
        <v>178</v>
      </c>
      <c r="D734" s="1037" t="s">
        <v>179</v>
      </c>
      <c r="E734" s="1037" t="s">
        <v>1521</v>
      </c>
      <c r="F734" s="1037" t="s">
        <v>14</v>
      </c>
      <c r="G734" s="1037" t="s">
        <v>1515</v>
      </c>
      <c r="H734" s="1037" t="s">
        <v>16</v>
      </c>
      <c r="I734" s="1039" t="s">
        <v>1490</v>
      </c>
      <c r="J734" s="1039" t="s">
        <v>2203</v>
      </c>
      <c r="K734" s="1037" t="s">
        <v>200</v>
      </c>
    </row>
    <row r="735" spans="1:11" s="500" customFormat="1" ht="30" hidden="1">
      <c r="A735" s="1034"/>
      <c r="B735" s="1036"/>
      <c r="C735" s="1038"/>
      <c r="D735" s="1038"/>
      <c r="E735" s="1038"/>
      <c r="F735" s="1038"/>
      <c r="G735" s="1038"/>
      <c r="H735" s="1038"/>
      <c r="I735" s="1039"/>
      <c r="J735" s="1039"/>
      <c r="K735" s="1038"/>
    </row>
    <row r="736" spans="1:11" s="500" customFormat="1" ht="74.25" hidden="1" customHeight="1">
      <c r="A736" s="1102" t="s">
        <v>1952</v>
      </c>
      <c r="B736" s="1103"/>
      <c r="C736" s="729"/>
      <c r="D736" s="729"/>
      <c r="E736" s="726"/>
      <c r="F736" s="727"/>
      <c r="G736" s="728"/>
      <c r="H736" s="728"/>
      <c r="I736" s="642">
        <f>I737+I745+I743</f>
        <v>66321</v>
      </c>
      <c r="J736" s="642">
        <f>J737+J745+J743</f>
        <v>44214</v>
      </c>
      <c r="K736" s="642">
        <f>I736+J736</f>
        <v>110535</v>
      </c>
    </row>
    <row r="737" spans="1:11" ht="75" hidden="1" customHeight="1">
      <c r="A737" s="1011" t="s">
        <v>1541</v>
      </c>
      <c r="B737" s="1013"/>
      <c r="C737" s="709"/>
      <c r="D737" s="709"/>
      <c r="E737" s="709"/>
      <c r="F737" s="708"/>
      <c r="G737" s="709"/>
      <c r="H737" s="710"/>
      <c r="I737" s="545">
        <f>SUM(I738:I742)</f>
        <v>58341</v>
      </c>
      <c r="J737" s="545">
        <f>SUM(J738:J742)</f>
        <v>38894</v>
      </c>
      <c r="K737" s="545">
        <f>I737+J737</f>
        <v>97235</v>
      </c>
    </row>
    <row r="738" spans="1:11" s="510" customFormat="1" ht="75" hidden="1" customHeight="1">
      <c r="A738" s="1020" t="s">
        <v>1954</v>
      </c>
      <c r="B738" s="1022"/>
      <c r="C738" s="714" t="s">
        <v>1958</v>
      </c>
      <c r="D738" s="714">
        <v>5</v>
      </c>
      <c r="E738" s="714" t="s">
        <v>1959</v>
      </c>
      <c r="F738" s="829" t="s">
        <v>2249</v>
      </c>
      <c r="G738" s="1047">
        <v>8100</v>
      </c>
      <c r="H738" s="1099" t="s">
        <v>2273</v>
      </c>
      <c r="I738" s="717">
        <f>K738/100*60</f>
        <v>17856</v>
      </c>
      <c r="J738" s="717">
        <f>K738/100*40</f>
        <v>11904</v>
      </c>
      <c r="K738" s="717">
        <v>29760</v>
      </c>
    </row>
    <row r="739" spans="1:11" s="510" customFormat="1" ht="75" hidden="1" customHeight="1">
      <c r="A739" s="1020" t="s">
        <v>1955</v>
      </c>
      <c r="B739" s="1022"/>
      <c r="C739" s="714" t="s">
        <v>1958</v>
      </c>
      <c r="D739" s="714">
        <v>4</v>
      </c>
      <c r="E739" s="714" t="s">
        <v>1960</v>
      </c>
      <c r="F739" s="829" t="s">
        <v>2247</v>
      </c>
      <c r="G739" s="1048"/>
      <c r="H739" s="1100"/>
      <c r="I739" s="717">
        <f>K739/100*60</f>
        <v>6000</v>
      </c>
      <c r="J739" s="717">
        <f>K739/100*40</f>
        <v>4000</v>
      </c>
      <c r="K739" s="717">
        <v>10000</v>
      </c>
    </row>
    <row r="740" spans="1:11" s="510" customFormat="1" ht="75" hidden="1" customHeight="1">
      <c r="A740" s="1020" t="s">
        <v>1496</v>
      </c>
      <c r="B740" s="1022"/>
      <c r="C740" s="714" t="s">
        <v>1961</v>
      </c>
      <c r="D740" s="714">
        <v>50</v>
      </c>
      <c r="E740" s="714" t="s">
        <v>1960</v>
      </c>
      <c r="F740" s="1044" t="s">
        <v>2248</v>
      </c>
      <c r="G740" s="1048"/>
      <c r="H740" s="1100"/>
      <c r="I740" s="717">
        <f>K740/100*60</f>
        <v>6000</v>
      </c>
      <c r="J740" s="717">
        <f>K740/100*40</f>
        <v>4000</v>
      </c>
      <c r="K740" s="717">
        <v>10000</v>
      </c>
    </row>
    <row r="741" spans="1:11" s="510" customFormat="1" ht="75" hidden="1" customHeight="1">
      <c r="A741" s="1020" t="s">
        <v>1840</v>
      </c>
      <c r="B741" s="1022"/>
      <c r="C741" s="714" t="s">
        <v>1962</v>
      </c>
      <c r="D741" s="714">
        <v>1</v>
      </c>
      <c r="E741" s="714" t="s">
        <v>1963</v>
      </c>
      <c r="F741" s="1045"/>
      <c r="G741" s="1048"/>
      <c r="H741" s="1100"/>
      <c r="I741" s="717">
        <f>K741/100*60</f>
        <v>4500</v>
      </c>
      <c r="J741" s="717">
        <f>K741/100*40</f>
        <v>3000</v>
      </c>
      <c r="K741" s="717">
        <v>7500</v>
      </c>
    </row>
    <row r="742" spans="1:11" s="510" customFormat="1" ht="74.25" hidden="1" customHeight="1">
      <c r="A742" s="1020" t="s">
        <v>1956</v>
      </c>
      <c r="B742" s="1022"/>
      <c r="C742" s="714" t="s">
        <v>1964</v>
      </c>
      <c r="D742" s="714">
        <v>1</v>
      </c>
      <c r="E742" s="714" t="s">
        <v>1965</v>
      </c>
      <c r="F742" s="1046"/>
      <c r="G742" s="1048"/>
      <c r="H742" s="1100"/>
      <c r="I742" s="717">
        <f>K742/100*60</f>
        <v>23985</v>
      </c>
      <c r="J742" s="717">
        <f>K742/100*40</f>
        <v>15990</v>
      </c>
      <c r="K742" s="717">
        <v>39975</v>
      </c>
    </row>
    <row r="743" spans="1:11" ht="73.5" hidden="1" customHeight="1">
      <c r="A743" s="1011" t="s">
        <v>278</v>
      </c>
      <c r="B743" s="1013"/>
      <c r="C743" s="709"/>
      <c r="D743" s="709"/>
      <c r="E743" s="709"/>
      <c r="F743" s="708"/>
      <c r="G743" s="709"/>
      <c r="H743" s="710"/>
      <c r="I743" s="545">
        <f>SUM(I744:I744)</f>
        <v>5580</v>
      </c>
      <c r="J743" s="545">
        <f>SUM(J744:J744)</f>
        <v>3720</v>
      </c>
      <c r="K743" s="545">
        <f>I743+J743</f>
        <v>9300</v>
      </c>
    </row>
    <row r="744" spans="1:11" s="510" customFormat="1" ht="74.25" hidden="1" customHeight="1">
      <c r="A744" s="1020" t="s">
        <v>1953</v>
      </c>
      <c r="B744" s="1022"/>
      <c r="C744" s="714" t="s">
        <v>1966</v>
      </c>
      <c r="D744" s="714">
        <v>7</v>
      </c>
      <c r="E744" s="714" t="s">
        <v>1967</v>
      </c>
      <c r="F744" s="833" t="s">
        <v>2235</v>
      </c>
      <c r="G744" s="827">
        <v>8100</v>
      </c>
      <c r="H744" s="834" t="s">
        <v>2445</v>
      </c>
      <c r="I744" s="717">
        <f>K744/100*60</f>
        <v>5580</v>
      </c>
      <c r="J744" s="717">
        <f>K744/100*40</f>
        <v>3720</v>
      </c>
      <c r="K744" s="717">
        <v>9300</v>
      </c>
    </row>
    <row r="745" spans="1:11" ht="73.5" hidden="1" customHeight="1">
      <c r="A745" s="1011" t="s">
        <v>312</v>
      </c>
      <c r="B745" s="1013"/>
      <c r="C745" s="709"/>
      <c r="D745" s="709"/>
      <c r="E745" s="709"/>
      <c r="F745" s="708"/>
      <c r="G745" s="709"/>
      <c r="H745" s="710"/>
      <c r="I745" s="545">
        <f>SUM(I746:I746)</f>
        <v>2400</v>
      </c>
      <c r="J745" s="545">
        <f>SUM(J746:J746)</f>
        <v>1600</v>
      </c>
      <c r="K745" s="545">
        <f>I745+J745</f>
        <v>4000</v>
      </c>
    </row>
    <row r="746" spans="1:11" s="510" customFormat="1" ht="74.25" hidden="1" customHeight="1">
      <c r="A746" s="1020" t="s">
        <v>1957</v>
      </c>
      <c r="B746" s="1022"/>
      <c r="C746" s="714" t="s">
        <v>1968</v>
      </c>
      <c r="D746" s="714">
        <v>2</v>
      </c>
      <c r="E746" s="714" t="s">
        <v>1969</v>
      </c>
      <c r="F746" s="829" t="s">
        <v>2225</v>
      </c>
      <c r="G746" s="827">
        <v>8100</v>
      </c>
      <c r="H746" s="828" t="s">
        <v>2273</v>
      </c>
      <c r="I746" s="717">
        <f>K746/100*60</f>
        <v>2400</v>
      </c>
      <c r="J746" s="717">
        <f>K746/100*40</f>
        <v>1600</v>
      </c>
      <c r="K746" s="717">
        <v>4000</v>
      </c>
    </row>
    <row r="747" spans="1:11" s="743" customFormat="1" ht="36.75" hidden="1" customHeight="1">
      <c r="A747" s="1135"/>
      <c r="B747" s="1136"/>
      <c r="C747" s="738"/>
      <c r="D747" s="738"/>
      <c r="E747" s="739"/>
      <c r="F747" s="740"/>
      <c r="G747" s="741"/>
      <c r="H747" s="741"/>
      <c r="I747" s="742"/>
      <c r="J747" s="742"/>
      <c r="K747" s="742"/>
    </row>
    <row r="748" spans="1:11" ht="66" hidden="1" customHeight="1">
      <c r="A748" s="1031" t="s">
        <v>37</v>
      </c>
      <c r="B748" s="1033"/>
      <c r="C748" s="1037" t="s">
        <v>178</v>
      </c>
      <c r="D748" s="1037" t="s">
        <v>179</v>
      </c>
      <c r="E748" s="1037" t="s">
        <v>1521</v>
      </c>
      <c r="F748" s="1037" t="s">
        <v>14</v>
      </c>
      <c r="G748" s="1037" t="s">
        <v>1515</v>
      </c>
      <c r="H748" s="1037" t="s">
        <v>16</v>
      </c>
      <c r="I748" s="1039" t="s">
        <v>1490</v>
      </c>
      <c r="J748" s="1039" t="s">
        <v>2203</v>
      </c>
      <c r="K748" s="1037" t="s">
        <v>200</v>
      </c>
    </row>
    <row r="749" spans="1:11" s="500" customFormat="1" ht="30" hidden="1">
      <c r="A749" s="1034"/>
      <c r="B749" s="1036"/>
      <c r="C749" s="1038"/>
      <c r="D749" s="1038"/>
      <c r="E749" s="1038"/>
      <c r="F749" s="1038"/>
      <c r="G749" s="1038"/>
      <c r="H749" s="1038"/>
      <c r="I749" s="1039"/>
      <c r="J749" s="1039"/>
      <c r="K749" s="1038"/>
    </row>
    <row r="750" spans="1:11" s="500" customFormat="1" ht="74.25" hidden="1" customHeight="1">
      <c r="A750" s="1102" t="s">
        <v>1947</v>
      </c>
      <c r="B750" s="1103"/>
      <c r="C750" s="729"/>
      <c r="D750" s="729"/>
      <c r="E750" s="726"/>
      <c r="F750" s="727"/>
      <c r="G750" s="728"/>
      <c r="H750" s="728"/>
      <c r="I750" s="642">
        <f>I751</f>
        <v>41142.6</v>
      </c>
      <c r="J750" s="642">
        <f>J751</f>
        <v>27428.399999999998</v>
      </c>
      <c r="K750" s="642">
        <f>I750+J750</f>
        <v>68571</v>
      </c>
    </row>
    <row r="751" spans="1:11" ht="75" hidden="1" customHeight="1">
      <c r="A751" s="1011" t="s">
        <v>1541</v>
      </c>
      <c r="B751" s="1013"/>
      <c r="C751" s="709"/>
      <c r="D751" s="709"/>
      <c r="E751" s="709"/>
      <c r="F751" s="708"/>
      <c r="G751" s="709"/>
      <c r="H751" s="710"/>
      <c r="I751" s="545">
        <f>SUM(I752:I753)</f>
        <v>41142.6</v>
      </c>
      <c r="J751" s="545">
        <f>SUM(J752:J753)</f>
        <v>27428.399999999998</v>
      </c>
      <c r="K751" s="545">
        <f>I751+J751</f>
        <v>68571</v>
      </c>
    </row>
    <row r="752" spans="1:11" s="510" customFormat="1" ht="75" hidden="1" customHeight="1">
      <c r="A752" s="1020" t="s">
        <v>1945</v>
      </c>
      <c r="B752" s="1022"/>
      <c r="C752" s="714" t="s">
        <v>1941</v>
      </c>
      <c r="D752" s="714">
        <v>200</v>
      </c>
      <c r="E752" s="714" t="s">
        <v>1942</v>
      </c>
      <c r="F752" s="833" t="s">
        <v>2247</v>
      </c>
      <c r="G752" s="1139">
        <v>8100</v>
      </c>
      <c r="H752" s="1140" t="s">
        <v>2273</v>
      </c>
      <c r="I752" s="717">
        <f>K752/100*60</f>
        <v>39955.199999999997</v>
      </c>
      <c r="J752" s="717">
        <f>K752/100*40</f>
        <v>26636.799999999999</v>
      </c>
      <c r="K752" s="717">
        <v>66592</v>
      </c>
    </row>
    <row r="753" spans="1:11" s="510" customFormat="1" ht="74.25" hidden="1" customHeight="1">
      <c r="A753" s="1020" t="s">
        <v>1946</v>
      </c>
      <c r="B753" s="1022"/>
      <c r="C753" s="714" t="s">
        <v>1943</v>
      </c>
      <c r="D753" s="714">
        <v>11</v>
      </c>
      <c r="E753" s="714" t="s">
        <v>1944</v>
      </c>
      <c r="F753" s="833" t="s">
        <v>2248</v>
      </c>
      <c r="G753" s="1139"/>
      <c r="H753" s="1140"/>
      <c r="I753" s="717">
        <f>K753/100*60</f>
        <v>1187.3999999999999</v>
      </c>
      <c r="J753" s="717">
        <f>K753/100*40</f>
        <v>791.59999999999991</v>
      </c>
      <c r="K753" s="717">
        <v>1979</v>
      </c>
    </row>
    <row r="754" spans="1:11" s="510" customFormat="1" ht="74.25" hidden="1" customHeight="1">
      <c r="A754" s="753"/>
      <c r="B754" s="753"/>
      <c r="C754" s="754"/>
      <c r="D754" s="754"/>
      <c r="E754" s="754"/>
      <c r="F754" s="755"/>
      <c r="G754" s="758"/>
      <c r="H754" s="756"/>
      <c r="I754" s="757"/>
      <c r="J754" s="757"/>
      <c r="K754" s="757"/>
    </row>
    <row r="755" spans="1:11" s="510" customFormat="1" ht="74.25" hidden="1" customHeight="1">
      <c r="A755" s="753"/>
      <c r="B755" s="753"/>
      <c r="C755" s="754"/>
      <c r="D755" s="754"/>
      <c r="E755" s="754"/>
      <c r="F755" s="755"/>
      <c r="G755" s="758"/>
      <c r="H755" s="756"/>
      <c r="I755" s="757"/>
      <c r="J755" s="757"/>
      <c r="K755" s="757"/>
    </row>
    <row r="756" spans="1:11" ht="34.5" hidden="1" customHeight="1">
      <c r="A756" s="1128" t="s">
        <v>51</v>
      </c>
      <c r="B756" s="1128"/>
      <c r="C756" s="1128"/>
      <c r="D756" s="1128"/>
      <c r="E756" s="1128"/>
      <c r="F756" s="1128"/>
      <c r="G756" s="1128"/>
      <c r="H756" s="1128"/>
      <c r="I756" s="1128"/>
      <c r="J756" s="1128"/>
      <c r="K756" s="1128"/>
    </row>
    <row r="757" spans="1:11" ht="30.75" hidden="1" customHeight="1">
      <c r="A757" s="1128" t="s">
        <v>52</v>
      </c>
      <c r="B757" s="1128"/>
      <c r="C757" s="1128"/>
      <c r="D757" s="1128"/>
      <c r="E757" s="1128"/>
      <c r="F757" s="1128"/>
      <c r="G757" s="1128"/>
      <c r="H757" s="1128"/>
      <c r="I757" s="1128"/>
      <c r="J757" s="1128"/>
      <c r="K757" s="1128"/>
    </row>
    <row r="758" spans="1:11" ht="33" hidden="1" customHeight="1">
      <c r="A758" s="1132" t="s">
        <v>50</v>
      </c>
      <c r="B758" s="1132"/>
      <c r="C758" s="1132"/>
      <c r="D758" s="1132"/>
      <c r="E758" s="1132"/>
      <c r="F758" s="1132"/>
      <c r="G758" s="1132"/>
      <c r="H758" s="1132"/>
      <c r="I758" s="1132"/>
      <c r="J758" s="1132"/>
      <c r="K758" s="1132"/>
    </row>
    <row r="759" spans="1:11" ht="33" hidden="1" customHeight="1">
      <c r="A759" s="154"/>
      <c r="B759" s="154"/>
      <c r="C759" s="154"/>
      <c r="D759" s="154"/>
      <c r="E759" s="154"/>
      <c r="F759" s="154"/>
      <c r="G759" s="707"/>
      <c r="H759" s="707"/>
      <c r="I759" s="707"/>
      <c r="J759" s="707"/>
      <c r="K759" s="707"/>
    </row>
    <row r="760" spans="1:11" ht="35.25" hidden="1">
      <c r="A760" s="1128" t="s">
        <v>1336</v>
      </c>
      <c r="B760" s="1128"/>
      <c r="C760" s="1128"/>
      <c r="D760" s="1128"/>
      <c r="E760" s="1128"/>
      <c r="F760" s="1128"/>
      <c r="G760" s="1128"/>
      <c r="H760" s="1128"/>
      <c r="I760" s="1128"/>
      <c r="J760" s="1128"/>
      <c r="K760" s="1128"/>
    </row>
    <row r="761" spans="1:11" s="620" customFormat="1" ht="33" hidden="1">
      <c r="A761" s="65"/>
      <c r="B761" s="65"/>
      <c r="C761" s="65"/>
      <c r="D761" s="65"/>
      <c r="E761" s="65"/>
      <c r="F761" s="65"/>
      <c r="G761" s="68"/>
      <c r="H761" s="68"/>
      <c r="I761" s="68"/>
      <c r="J761" s="68"/>
      <c r="K761" s="68"/>
    </row>
    <row r="762" spans="1:11" ht="20.100000000000001" hidden="1" customHeight="1">
      <c r="A762" s="65"/>
      <c r="B762" s="65"/>
      <c r="C762" s="65"/>
      <c r="D762" s="65"/>
      <c r="E762" s="65"/>
      <c r="F762" s="65"/>
      <c r="G762" s="68"/>
      <c r="H762" s="68"/>
      <c r="I762" s="68"/>
      <c r="J762" s="68"/>
      <c r="K762" s="68"/>
    </row>
    <row r="763" spans="1:11" ht="20.100000000000001" hidden="1" customHeight="1">
      <c r="A763" s="979"/>
      <c r="B763" s="979"/>
      <c r="C763" s="979"/>
      <c r="D763" s="979"/>
      <c r="E763" s="979"/>
      <c r="F763" s="979"/>
      <c r="G763" s="979"/>
      <c r="H763" s="979"/>
      <c r="I763" s="979"/>
      <c r="J763" s="979"/>
      <c r="K763" s="979"/>
    </row>
    <row r="764" spans="1:11" ht="45.75" hidden="1" customHeight="1">
      <c r="A764" s="1030" t="s">
        <v>1382</v>
      </c>
      <c r="B764" s="1030"/>
      <c r="C764" s="1030"/>
      <c r="D764" s="1030"/>
      <c r="E764" s="1030"/>
      <c r="F764" s="1030"/>
      <c r="G764" s="1030"/>
      <c r="H764" s="1030"/>
      <c r="I764" s="1030"/>
      <c r="J764" s="1030"/>
      <c r="K764" s="1030"/>
    </row>
    <row r="765" spans="1:11" ht="66" hidden="1" customHeight="1">
      <c r="A765" s="1031" t="s">
        <v>37</v>
      </c>
      <c r="B765" s="1033"/>
      <c r="C765" s="1037" t="s">
        <v>178</v>
      </c>
      <c r="D765" s="1037" t="s">
        <v>179</v>
      </c>
      <c r="E765" s="1037" t="s">
        <v>1521</v>
      </c>
      <c r="F765" s="1037" t="s">
        <v>14</v>
      </c>
      <c r="G765" s="1037" t="s">
        <v>1515</v>
      </c>
      <c r="H765" s="1037" t="s">
        <v>16</v>
      </c>
      <c r="I765" s="1039" t="s">
        <v>1490</v>
      </c>
      <c r="J765" s="1039" t="s">
        <v>2203</v>
      </c>
      <c r="K765" s="1037" t="s">
        <v>200</v>
      </c>
    </row>
    <row r="766" spans="1:11" s="500" customFormat="1" ht="30" hidden="1">
      <c r="A766" s="1034"/>
      <c r="B766" s="1036"/>
      <c r="C766" s="1038"/>
      <c r="D766" s="1038"/>
      <c r="E766" s="1038"/>
      <c r="F766" s="1038"/>
      <c r="G766" s="1038"/>
      <c r="H766" s="1038"/>
      <c r="I766" s="1039"/>
      <c r="J766" s="1039"/>
      <c r="K766" s="1038"/>
    </row>
    <row r="767" spans="1:11" s="500" customFormat="1" ht="74.25" hidden="1" customHeight="1">
      <c r="A767" s="1102" t="s">
        <v>1930</v>
      </c>
      <c r="B767" s="1103"/>
      <c r="C767" s="729"/>
      <c r="D767" s="729"/>
      <c r="E767" s="726"/>
      <c r="F767" s="727"/>
      <c r="G767" s="728"/>
      <c r="H767" s="728"/>
      <c r="I767" s="642">
        <f>I768+I773</f>
        <v>68421.600000000006</v>
      </c>
      <c r="J767" s="642">
        <f>J768+J773</f>
        <v>45614.400000000001</v>
      </c>
      <c r="K767" s="642">
        <f>I767+J767</f>
        <v>114036</v>
      </c>
    </row>
    <row r="768" spans="1:11" ht="75" hidden="1" customHeight="1">
      <c r="A768" s="1011" t="s">
        <v>1541</v>
      </c>
      <c r="B768" s="1013"/>
      <c r="C768" s="709"/>
      <c r="D768" s="709"/>
      <c r="E768" s="709"/>
      <c r="F768" s="708"/>
      <c r="G768" s="709"/>
      <c r="H768" s="710"/>
      <c r="I768" s="545">
        <f>SUM(I769:I772)</f>
        <v>51321.599999999999</v>
      </c>
      <c r="J768" s="545">
        <f>SUM(J769:J772)</f>
        <v>34214.400000000001</v>
      </c>
      <c r="K768" s="545">
        <f>I768+J768</f>
        <v>85536</v>
      </c>
    </row>
    <row r="769" spans="1:11" s="510" customFormat="1" ht="75" hidden="1" customHeight="1">
      <c r="A769" s="1020" t="s">
        <v>1807</v>
      </c>
      <c r="B769" s="1022"/>
      <c r="C769" s="714" t="s">
        <v>1931</v>
      </c>
      <c r="D769" s="714">
        <v>1</v>
      </c>
      <c r="E769" s="714" t="s">
        <v>1932</v>
      </c>
      <c r="F769" s="829" t="s">
        <v>2246</v>
      </c>
      <c r="G769" s="1047">
        <v>8100</v>
      </c>
      <c r="H769" s="1099" t="s">
        <v>2273</v>
      </c>
      <c r="I769" s="717">
        <f>K769/100*60</f>
        <v>5721.6</v>
      </c>
      <c r="J769" s="717">
        <f>K769/100*40</f>
        <v>3814.4</v>
      </c>
      <c r="K769" s="717">
        <v>9536</v>
      </c>
    </row>
    <row r="770" spans="1:11" s="510" customFormat="1" ht="74.25" hidden="1" customHeight="1">
      <c r="A770" s="1020" t="s">
        <v>1852</v>
      </c>
      <c r="B770" s="1022"/>
      <c r="C770" s="714" t="s">
        <v>1801</v>
      </c>
      <c r="D770" s="714">
        <v>12</v>
      </c>
      <c r="E770" s="714" t="s">
        <v>1935</v>
      </c>
      <c r="F770" s="829" t="s">
        <v>2247</v>
      </c>
      <c r="G770" s="1048"/>
      <c r="H770" s="1100"/>
      <c r="I770" s="717">
        <f>K770/100*60</f>
        <v>15000</v>
      </c>
      <c r="J770" s="717">
        <f>K770/100*40</f>
        <v>10000</v>
      </c>
      <c r="K770" s="717">
        <v>25000</v>
      </c>
    </row>
    <row r="771" spans="1:11" s="510" customFormat="1" ht="75" hidden="1" customHeight="1">
      <c r="A771" s="1020" t="s">
        <v>1840</v>
      </c>
      <c r="B771" s="1022"/>
      <c r="C771" s="714" t="s">
        <v>1933</v>
      </c>
      <c r="D771" s="714">
        <v>1</v>
      </c>
      <c r="E771" s="714" t="s">
        <v>1680</v>
      </c>
      <c r="F771" s="1104" t="s">
        <v>2248</v>
      </c>
      <c r="G771" s="1048"/>
      <c r="H771" s="1100"/>
      <c r="I771" s="717">
        <f>K771/100*60</f>
        <v>10200</v>
      </c>
      <c r="J771" s="717">
        <f>K771/100*40</f>
        <v>6800</v>
      </c>
      <c r="K771" s="717">
        <v>17000</v>
      </c>
    </row>
    <row r="772" spans="1:11" s="510" customFormat="1" ht="75" hidden="1" customHeight="1">
      <c r="A772" s="1020" t="s">
        <v>1929</v>
      </c>
      <c r="B772" s="1022"/>
      <c r="C772" s="714" t="s">
        <v>1934</v>
      </c>
      <c r="D772" s="714">
        <v>5</v>
      </c>
      <c r="E772" s="714" t="s">
        <v>1936</v>
      </c>
      <c r="F772" s="1104"/>
      <c r="G772" s="1048"/>
      <c r="H772" s="1100"/>
      <c r="I772" s="717">
        <f>K772/100*60</f>
        <v>20400</v>
      </c>
      <c r="J772" s="717">
        <f>K772/100*40</f>
        <v>13600</v>
      </c>
      <c r="K772" s="717">
        <v>34000</v>
      </c>
    </row>
    <row r="773" spans="1:11" ht="73.5" hidden="1" customHeight="1">
      <c r="A773" s="1011" t="s">
        <v>312</v>
      </c>
      <c r="B773" s="1013"/>
      <c r="C773" s="709"/>
      <c r="D773" s="709"/>
      <c r="E773" s="709"/>
      <c r="F773" s="708"/>
      <c r="G773" s="709"/>
      <c r="H773" s="710"/>
      <c r="I773" s="545">
        <f>SUM(I774:I775)</f>
        <v>17100</v>
      </c>
      <c r="J773" s="545">
        <f>SUM(J774:J775)</f>
        <v>11400</v>
      </c>
      <c r="K773" s="545">
        <f>I773+J773</f>
        <v>28500</v>
      </c>
    </row>
    <row r="774" spans="1:11" s="510" customFormat="1" ht="74.25" hidden="1" customHeight="1">
      <c r="A774" s="1020" t="s">
        <v>1937</v>
      </c>
      <c r="B774" s="1022"/>
      <c r="C774" s="714" t="s">
        <v>1801</v>
      </c>
      <c r="D774" s="714">
        <v>13</v>
      </c>
      <c r="E774" s="714" t="s">
        <v>1939</v>
      </c>
      <c r="F774" s="1044" t="s">
        <v>2225</v>
      </c>
      <c r="G774" s="1047">
        <v>8100</v>
      </c>
      <c r="H774" s="1099" t="s">
        <v>2273</v>
      </c>
      <c r="I774" s="717">
        <f>K774/100*60</f>
        <v>6300</v>
      </c>
      <c r="J774" s="717">
        <f>K774/100*40</f>
        <v>4200</v>
      </c>
      <c r="K774" s="717">
        <v>10500</v>
      </c>
    </row>
    <row r="775" spans="1:11" s="510" customFormat="1" ht="74.25" hidden="1" customHeight="1">
      <c r="A775" s="1020" t="s">
        <v>1938</v>
      </c>
      <c r="B775" s="1022"/>
      <c r="C775" s="714" t="s">
        <v>1934</v>
      </c>
      <c r="D775" s="714">
        <v>8</v>
      </c>
      <c r="E775" s="714" t="s">
        <v>1940</v>
      </c>
      <c r="F775" s="1046"/>
      <c r="G775" s="1049"/>
      <c r="H775" s="1101"/>
      <c r="I775" s="717">
        <f>K775/100*60</f>
        <v>10800</v>
      </c>
      <c r="J775" s="717">
        <f>K775/100*40</f>
        <v>7200</v>
      </c>
      <c r="K775" s="717">
        <v>18000</v>
      </c>
    </row>
    <row r="776" spans="1:11" s="743" customFormat="1" ht="36.75" hidden="1" customHeight="1">
      <c r="A776" s="1135"/>
      <c r="B776" s="1136"/>
      <c r="C776" s="738"/>
      <c r="D776" s="738"/>
      <c r="E776" s="739"/>
      <c r="F776" s="740"/>
      <c r="G776" s="741"/>
      <c r="H776" s="741"/>
      <c r="I776" s="742"/>
      <c r="J776" s="742"/>
      <c r="K776" s="742"/>
    </row>
    <row r="777" spans="1:11" ht="66" hidden="1" customHeight="1">
      <c r="A777" s="1031" t="s">
        <v>37</v>
      </c>
      <c r="B777" s="1033"/>
      <c r="C777" s="1037" t="s">
        <v>178</v>
      </c>
      <c r="D777" s="1037" t="s">
        <v>179</v>
      </c>
      <c r="E777" s="1037" t="s">
        <v>1521</v>
      </c>
      <c r="F777" s="1037" t="s">
        <v>14</v>
      </c>
      <c r="G777" s="1037" t="s">
        <v>1515</v>
      </c>
      <c r="H777" s="1037" t="s">
        <v>16</v>
      </c>
      <c r="I777" s="1039" t="s">
        <v>1490</v>
      </c>
      <c r="J777" s="1039" t="s">
        <v>2203</v>
      </c>
      <c r="K777" s="1037" t="s">
        <v>200</v>
      </c>
    </row>
    <row r="778" spans="1:11" s="500" customFormat="1" ht="30" hidden="1">
      <c r="A778" s="1034"/>
      <c r="B778" s="1036"/>
      <c r="C778" s="1038"/>
      <c r="D778" s="1038"/>
      <c r="E778" s="1038"/>
      <c r="F778" s="1038"/>
      <c r="G778" s="1038"/>
      <c r="H778" s="1038"/>
      <c r="I778" s="1039"/>
      <c r="J778" s="1039"/>
      <c r="K778" s="1038"/>
    </row>
    <row r="779" spans="1:11" s="500" customFormat="1" ht="74.25" hidden="1" customHeight="1">
      <c r="A779" s="1102" t="s">
        <v>1948</v>
      </c>
      <c r="B779" s="1103"/>
      <c r="C779" s="729"/>
      <c r="D779" s="729"/>
      <c r="E779" s="726"/>
      <c r="F779" s="727"/>
      <c r="G779" s="728"/>
      <c r="H779" s="728"/>
      <c r="I779" s="642">
        <f>I780+I784</f>
        <v>61584.000000000007</v>
      </c>
      <c r="J779" s="642">
        <f>J780+J784</f>
        <v>41056</v>
      </c>
      <c r="K779" s="642">
        <f>I779+J779</f>
        <v>102640</v>
      </c>
    </row>
    <row r="780" spans="1:11" ht="75" hidden="1" customHeight="1">
      <c r="A780" s="1011" t="s">
        <v>1541</v>
      </c>
      <c r="B780" s="1013"/>
      <c r="C780" s="709"/>
      <c r="D780" s="709"/>
      <c r="E780" s="709"/>
      <c r="F780" s="708"/>
      <c r="G780" s="709"/>
      <c r="H780" s="710"/>
      <c r="I780" s="545">
        <f>SUM(I781:I783)</f>
        <v>55449.600000000006</v>
      </c>
      <c r="J780" s="545">
        <f>SUM(J781:J783)</f>
        <v>36966.400000000001</v>
      </c>
      <c r="K780" s="545">
        <f>I780+J780</f>
        <v>92416</v>
      </c>
    </row>
    <row r="781" spans="1:11" s="510" customFormat="1" ht="75" hidden="1" customHeight="1">
      <c r="A781" s="1020" t="s">
        <v>1949</v>
      </c>
      <c r="B781" s="1022"/>
      <c r="C781" s="714" t="s">
        <v>1544</v>
      </c>
      <c r="D781" s="714"/>
      <c r="E781" s="714" t="s">
        <v>1544</v>
      </c>
      <c r="F781" s="829" t="s">
        <v>2246</v>
      </c>
      <c r="G781" s="1047">
        <v>8100</v>
      </c>
      <c r="H781" s="1099" t="s">
        <v>2273</v>
      </c>
      <c r="I781" s="717">
        <f>K781/100*60</f>
        <v>4800</v>
      </c>
      <c r="J781" s="717">
        <f>K781/100*40</f>
        <v>3200</v>
      </c>
      <c r="K781" s="717">
        <v>8000</v>
      </c>
    </row>
    <row r="782" spans="1:11" s="510" customFormat="1" ht="74.25" hidden="1" customHeight="1">
      <c r="A782" s="1020" t="s">
        <v>1546</v>
      </c>
      <c r="B782" s="1022"/>
      <c r="C782" s="714" t="s">
        <v>1544</v>
      </c>
      <c r="D782" s="714"/>
      <c r="E782" s="714" t="s">
        <v>1544</v>
      </c>
      <c r="F782" s="829" t="s">
        <v>2247</v>
      </c>
      <c r="G782" s="1048"/>
      <c r="H782" s="1100"/>
      <c r="I782" s="717">
        <f>K782/100*60</f>
        <v>24000</v>
      </c>
      <c r="J782" s="717">
        <f>K782/100*40</f>
        <v>16000</v>
      </c>
      <c r="K782" s="717">
        <v>40000</v>
      </c>
    </row>
    <row r="783" spans="1:11" s="510" customFormat="1" ht="74.25" hidden="1" customHeight="1">
      <c r="A783" s="1020" t="s">
        <v>1950</v>
      </c>
      <c r="B783" s="1022"/>
      <c r="C783" s="714" t="s">
        <v>1544</v>
      </c>
      <c r="D783" s="714"/>
      <c r="E783" s="714" t="s">
        <v>1544</v>
      </c>
      <c r="F783" s="829" t="s">
        <v>2248</v>
      </c>
      <c r="G783" s="1048"/>
      <c r="H783" s="1100"/>
      <c r="I783" s="717">
        <f>K783/100*60</f>
        <v>26649.600000000002</v>
      </c>
      <c r="J783" s="717">
        <f>K783/100*40</f>
        <v>17766.400000000001</v>
      </c>
      <c r="K783" s="717">
        <v>44416</v>
      </c>
    </row>
    <row r="784" spans="1:11" ht="73.5" hidden="1" customHeight="1">
      <c r="A784" s="1011" t="s">
        <v>312</v>
      </c>
      <c r="B784" s="1013"/>
      <c r="C784" s="709"/>
      <c r="D784" s="709"/>
      <c r="E784" s="709"/>
      <c r="F784" s="708"/>
      <c r="G784" s="709"/>
      <c r="H784" s="710"/>
      <c r="I784" s="545">
        <f>SUM(I785:I785)</f>
        <v>6134.4</v>
      </c>
      <c r="J784" s="545">
        <f>SUM(J785:J785)</f>
        <v>4089.6</v>
      </c>
      <c r="K784" s="545">
        <f>I784+J784</f>
        <v>10224</v>
      </c>
    </row>
    <row r="785" spans="1:11" s="510" customFormat="1" ht="74.25" hidden="1" customHeight="1">
      <c r="A785" s="1020" t="s">
        <v>1951</v>
      </c>
      <c r="B785" s="1022"/>
      <c r="C785" s="714" t="s">
        <v>1544</v>
      </c>
      <c r="D785" s="714"/>
      <c r="E785" s="714" t="s">
        <v>1544</v>
      </c>
      <c r="F785" s="829" t="s">
        <v>2225</v>
      </c>
      <c r="G785" s="827">
        <v>8100</v>
      </c>
      <c r="H785" s="828" t="s">
        <v>2273</v>
      </c>
      <c r="I785" s="717">
        <f>K785/100*60</f>
        <v>6134.4</v>
      </c>
      <c r="J785" s="717">
        <f>K785/100*40</f>
        <v>4089.6</v>
      </c>
      <c r="K785" s="717">
        <v>10224</v>
      </c>
    </row>
    <row r="786" spans="1:11" s="743" customFormat="1" ht="36.75" hidden="1" customHeight="1">
      <c r="A786" s="1135"/>
      <c r="B786" s="1136"/>
      <c r="C786" s="738"/>
      <c r="D786" s="738"/>
      <c r="E786" s="739"/>
      <c r="F786" s="740"/>
      <c r="G786" s="741"/>
      <c r="H786" s="741"/>
      <c r="I786" s="742"/>
      <c r="J786" s="742"/>
      <c r="K786" s="742"/>
    </row>
    <row r="787" spans="1:11" ht="66" hidden="1" customHeight="1">
      <c r="A787" s="1031" t="s">
        <v>37</v>
      </c>
      <c r="B787" s="1033"/>
      <c r="C787" s="1037" t="s">
        <v>178</v>
      </c>
      <c r="D787" s="1037" t="s">
        <v>179</v>
      </c>
      <c r="E787" s="1037" t="s">
        <v>1521</v>
      </c>
      <c r="F787" s="1037" t="s">
        <v>14</v>
      </c>
      <c r="G787" s="1037" t="s">
        <v>1515</v>
      </c>
      <c r="H787" s="1037" t="s">
        <v>16</v>
      </c>
      <c r="I787" s="1039" t="s">
        <v>1490</v>
      </c>
      <c r="J787" s="1039" t="s">
        <v>2203</v>
      </c>
      <c r="K787" s="1037" t="s">
        <v>200</v>
      </c>
    </row>
    <row r="788" spans="1:11" s="500" customFormat="1" ht="30" hidden="1">
      <c r="A788" s="1034"/>
      <c r="B788" s="1036"/>
      <c r="C788" s="1038"/>
      <c r="D788" s="1038"/>
      <c r="E788" s="1038"/>
      <c r="F788" s="1038"/>
      <c r="G788" s="1038"/>
      <c r="H788" s="1038"/>
      <c r="I788" s="1039"/>
      <c r="J788" s="1039"/>
      <c r="K788" s="1038"/>
    </row>
    <row r="789" spans="1:11" s="500" customFormat="1" ht="74.25" hidden="1" customHeight="1">
      <c r="A789" s="1102" t="s">
        <v>1879</v>
      </c>
      <c r="B789" s="1103"/>
      <c r="C789" s="729"/>
      <c r="D789" s="729"/>
      <c r="E789" s="726"/>
      <c r="F789" s="727"/>
      <c r="G789" s="728"/>
      <c r="H789" s="728"/>
      <c r="I789" s="642">
        <f>I790+I797</f>
        <v>79675.199999999997</v>
      </c>
      <c r="J789" s="642">
        <f>J790+J797</f>
        <v>53116.800000000003</v>
      </c>
      <c r="K789" s="642">
        <f>I789+J789</f>
        <v>132792</v>
      </c>
    </row>
    <row r="790" spans="1:11" ht="75" hidden="1" customHeight="1">
      <c r="A790" s="1011" t="s">
        <v>1541</v>
      </c>
      <c r="B790" s="1013"/>
      <c r="C790" s="709"/>
      <c r="D790" s="709"/>
      <c r="E790" s="709"/>
      <c r="F790" s="708"/>
      <c r="G790" s="709"/>
      <c r="H790" s="710"/>
      <c r="I790" s="545">
        <f>SUM(I791:I796)</f>
        <v>77275.199999999997</v>
      </c>
      <c r="J790" s="545">
        <f>SUM(J791:J796)</f>
        <v>51516.800000000003</v>
      </c>
      <c r="K790" s="545">
        <f>I790+J790</f>
        <v>128792</v>
      </c>
    </row>
    <row r="791" spans="1:11" s="510" customFormat="1" ht="75" hidden="1" customHeight="1">
      <c r="A791" s="1020" t="s">
        <v>1892</v>
      </c>
      <c r="B791" s="1022"/>
      <c r="C791" s="714" t="s">
        <v>1880</v>
      </c>
      <c r="D791" s="714">
        <v>70</v>
      </c>
      <c r="E791" s="714" t="s">
        <v>1881</v>
      </c>
      <c r="F791" s="829" t="s">
        <v>2246</v>
      </c>
      <c r="G791" s="1047">
        <v>8100</v>
      </c>
      <c r="H791" s="1099" t="s">
        <v>2273</v>
      </c>
      <c r="I791" s="717">
        <f t="shared" ref="I791:I796" si="25">K791/100*60</f>
        <v>8428.7999999999993</v>
      </c>
      <c r="J791" s="717">
        <f t="shared" ref="J791:J796" si="26">K791/100*40</f>
        <v>5619.2</v>
      </c>
      <c r="K791" s="717">
        <v>14048</v>
      </c>
    </row>
    <row r="792" spans="1:11" s="510" customFormat="1" ht="74.25" hidden="1" customHeight="1">
      <c r="A792" s="1020" t="s">
        <v>1893</v>
      </c>
      <c r="B792" s="1022"/>
      <c r="C792" s="714" t="s">
        <v>1882</v>
      </c>
      <c r="D792" s="714">
        <v>60</v>
      </c>
      <c r="E792" s="714" t="s">
        <v>1883</v>
      </c>
      <c r="F792" s="829" t="s">
        <v>2249</v>
      </c>
      <c r="G792" s="1048"/>
      <c r="H792" s="1100"/>
      <c r="I792" s="717">
        <f t="shared" si="25"/>
        <v>28569.600000000002</v>
      </c>
      <c r="J792" s="717">
        <f t="shared" si="26"/>
        <v>19046.400000000001</v>
      </c>
      <c r="K792" s="717">
        <v>47616</v>
      </c>
    </row>
    <row r="793" spans="1:11" s="510" customFormat="1" ht="75" hidden="1" customHeight="1">
      <c r="A793" s="1020" t="s">
        <v>1894</v>
      </c>
      <c r="B793" s="1022"/>
      <c r="C793" s="714" t="s">
        <v>1884</v>
      </c>
      <c r="D793" s="714">
        <v>80</v>
      </c>
      <c r="E793" s="714" t="s">
        <v>1885</v>
      </c>
      <c r="F793" s="829" t="s">
        <v>2247</v>
      </c>
      <c r="G793" s="1048"/>
      <c r="H793" s="1100"/>
      <c r="I793" s="717">
        <f t="shared" si="25"/>
        <v>5400</v>
      </c>
      <c r="J793" s="717">
        <f t="shared" si="26"/>
        <v>3600</v>
      </c>
      <c r="K793" s="717">
        <v>9000</v>
      </c>
    </row>
    <row r="794" spans="1:11" s="510" customFormat="1" ht="75" hidden="1" customHeight="1">
      <c r="A794" s="1020" t="s">
        <v>1895</v>
      </c>
      <c r="B794" s="1022"/>
      <c r="C794" s="714" t="s">
        <v>1886</v>
      </c>
      <c r="D794" s="714">
        <v>70</v>
      </c>
      <c r="E794" s="714" t="s">
        <v>1887</v>
      </c>
      <c r="F794" s="1104" t="s">
        <v>2248</v>
      </c>
      <c r="G794" s="1048"/>
      <c r="H794" s="1100"/>
      <c r="I794" s="717">
        <f t="shared" si="25"/>
        <v>3000</v>
      </c>
      <c r="J794" s="717">
        <f t="shared" si="26"/>
        <v>2000</v>
      </c>
      <c r="K794" s="717">
        <v>5000</v>
      </c>
    </row>
    <row r="795" spans="1:11" s="510" customFormat="1" ht="75" hidden="1" customHeight="1">
      <c r="A795" s="1020" t="s">
        <v>1896</v>
      </c>
      <c r="B795" s="1022"/>
      <c r="C795" s="714" t="s">
        <v>1888</v>
      </c>
      <c r="D795" s="714">
        <v>80</v>
      </c>
      <c r="E795" s="714" t="s">
        <v>1889</v>
      </c>
      <c r="F795" s="1104"/>
      <c r="G795" s="1048"/>
      <c r="H795" s="1100"/>
      <c r="I795" s="717">
        <f t="shared" si="25"/>
        <v>14181</v>
      </c>
      <c r="J795" s="717">
        <f t="shared" si="26"/>
        <v>9454</v>
      </c>
      <c r="K795" s="717">
        <v>23635</v>
      </c>
    </row>
    <row r="796" spans="1:11" s="510" customFormat="1" ht="75" hidden="1" customHeight="1">
      <c r="A796" s="1020" t="s">
        <v>1897</v>
      </c>
      <c r="B796" s="1022"/>
      <c r="C796" s="714" t="s">
        <v>1890</v>
      </c>
      <c r="D796" s="714">
        <v>80</v>
      </c>
      <c r="E796" s="714" t="s">
        <v>1891</v>
      </c>
      <c r="F796" s="1104"/>
      <c r="G796" s="1048"/>
      <c r="H796" s="1100"/>
      <c r="I796" s="717">
        <f t="shared" si="25"/>
        <v>17695.8</v>
      </c>
      <c r="J796" s="717">
        <f t="shared" si="26"/>
        <v>11797.2</v>
      </c>
      <c r="K796" s="717">
        <v>29493</v>
      </c>
    </row>
    <row r="797" spans="1:11" ht="73.5" hidden="1" customHeight="1">
      <c r="A797" s="1011" t="s">
        <v>312</v>
      </c>
      <c r="B797" s="1013"/>
      <c r="C797" s="709"/>
      <c r="D797" s="709"/>
      <c r="E797" s="709"/>
      <c r="F797" s="708"/>
      <c r="G797" s="709"/>
      <c r="H797" s="710"/>
      <c r="I797" s="545">
        <f>SUM(I798:I798)</f>
        <v>2400</v>
      </c>
      <c r="J797" s="545">
        <f>SUM(J798:J798)</f>
        <v>1600</v>
      </c>
      <c r="K797" s="545">
        <f>I797+J797</f>
        <v>4000</v>
      </c>
    </row>
    <row r="798" spans="1:11" s="510" customFormat="1" ht="74.25" hidden="1" customHeight="1">
      <c r="A798" s="1020" t="s">
        <v>1898</v>
      </c>
      <c r="B798" s="1022"/>
      <c r="C798" s="714" t="s">
        <v>1900</v>
      </c>
      <c r="D798" s="714">
        <v>70</v>
      </c>
      <c r="E798" s="714" t="s">
        <v>1899</v>
      </c>
      <c r="F798" s="833" t="s">
        <v>2225</v>
      </c>
      <c r="G798" s="835">
        <v>8100</v>
      </c>
      <c r="H798" s="834" t="s">
        <v>2273</v>
      </c>
      <c r="I798" s="717">
        <f>K798/100*60</f>
        <v>2400</v>
      </c>
      <c r="J798" s="717">
        <f>K798/100*40</f>
        <v>1600</v>
      </c>
      <c r="K798" s="717">
        <v>4000</v>
      </c>
    </row>
    <row r="799" spans="1:11" s="510" customFormat="1" ht="74.25" hidden="1" customHeight="1">
      <c r="A799" s="753"/>
      <c r="B799" s="753"/>
      <c r="C799" s="754"/>
      <c r="D799" s="754"/>
      <c r="E799" s="754"/>
      <c r="F799" s="755"/>
      <c r="G799" s="758"/>
      <c r="H799" s="756"/>
      <c r="I799" s="757"/>
      <c r="J799" s="757"/>
      <c r="K799" s="757"/>
    </row>
    <row r="800" spans="1:11" ht="34.5" hidden="1" customHeight="1">
      <c r="A800" s="1128" t="s">
        <v>51</v>
      </c>
      <c r="B800" s="1128"/>
      <c r="C800" s="1128"/>
      <c r="D800" s="1128"/>
      <c r="E800" s="1128"/>
      <c r="F800" s="1128"/>
      <c r="G800" s="1128"/>
      <c r="H800" s="1128"/>
      <c r="I800" s="1128"/>
      <c r="J800" s="1128"/>
      <c r="K800" s="1128"/>
    </row>
    <row r="801" spans="1:11" ht="30.75" hidden="1" customHeight="1">
      <c r="A801" s="1128" t="s">
        <v>52</v>
      </c>
      <c r="B801" s="1128"/>
      <c r="C801" s="1128"/>
      <c r="D801" s="1128"/>
      <c r="E801" s="1128"/>
      <c r="F801" s="1128"/>
      <c r="G801" s="1128"/>
      <c r="H801" s="1128"/>
      <c r="I801" s="1128"/>
      <c r="J801" s="1128"/>
      <c r="K801" s="1128"/>
    </row>
    <row r="802" spans="1:11" ht="33" hidden="1" customHeight="1">
      <c r="A802" s="1132" t="s">
        <v>50</v>
      </c>
      <c r="B802" s="1132"/>
      <c r="C802" s="1132"/>
      <c r="D802" s="1132"/>
      <c r="E802" s="1132"/>
      <c r="F802" s="1132"/>
      <c r="G802" s="1132"/>
      <c r="H802" s="1132"/>
      <c r="I802" s="1132"/>
      <c r="J802" s="1132"/>
      <c r="K802" s="1132"/>
    </row>
    <row r="803" spans="1:11" ht="33" hidden="1" customHeight="1">
      <c r="A803" s="154"/>
      <c r="B803" s="154"/>
      <c r="C803" s="154"/>
      <c r="D803" s="154"/>
      <c r="E803" s="154"/>
      <c r="F803" s="154"/>
      <c r="G803" s="707"/>
      <c r="H803" s="707"/>
      <c r="I803" s="707"/>
      <c r="J803" s="707"/>
      <c r="K803" s="707"/>
    </row>
    <row r="804" spans="1:11" ht="35.25" hidden="1">
      <c r="A804" s="1128" t="s">
        <v>1336</v>
      </c>
      <c r="B804" s="1128"/>
      <c r="C804" s="1128"/>
      <c r="D804" s="1128"/>
      <c r="E804" s="1128"/>
      <c r="F804" s="1128"/>
      <c r="G804" s="1128"/>
      <c r="H804" s="1128"/>
      <c r="I804" s="1128"/>
      <c r="J804" s="1128"/>
      <c r="K804" s="1128"/>
    </row>
    <row r="805" spans="1:11" s="620" customFormat="1" ht="33" hidden="1">
      <c r="A805" s="65"/>
      <c r="B805" s="65"/>
      <c r="C805" s="65"/>
      <c r="D805" s="65"/>
      <c r="E805" s="65"/>
      <c r="F805" s="65"/>
      <c r="G805" s="68"/>
      <c r="H805" s="68"/>
      <c r="I805" s="68"/>
      <c r="J805" s="68"/>
      <c r="K805" s="68"/>
    </row>
    <row r="806" spans="1:11" ht="20.100000000000001" hidden="1" customHeight="1">
      <c r="A806" s="65"/>
      <c r="B806" s="65"/>
      <c r="C806" s="65"/>
      <c r="D806" s="65"/>
      <c r="E806" s="65"/>
      <c r="F806" s="65"/>
      <c r="G806" s="68"/>
      <c r="H806" s="68"/>
      <c r="I806" s="68"/>
      <c r="J806" s="68"/>
      <c r="K806" s="68"/>
    </row>
    <row r="807" spans="1:11" ht="20.100000000000001" hidden="1" customHeight="1">
      <c r="A807" s="979"/>
      <c r="B807" s="979"/>
      <c r="C807" s="979"/>
      <c r="D807" s="979"/>
      <c r="E807" s="979"/>
      <c r="F807" s="979"/>
      <c r="G807" s="979"/>
      <c r="H807" s="979"/>
      <c r="I807" s="979"/>
      <c r="J807" s="979"/>
      <c r="K807" s="979"/>
    </row>
    <row r="808" spans="1:11" ht="45.75" hidden="1" customHeight="1">
      <c r="A808" s="1030" t="s">
        <v>1382</v>
      </c>
      <c r="B808" s="1030"/>
      <c r="C808" s="1030"/>
      <c r="D808" s="1030"/>
      <c r="E808" s="1030"/>
      <c r="F808" s="1030"/>
      <c r="G808" s="1030"/>
      <c r="H808" s="1030"/>
      <c r="I808" s="1030"/>
      <c r="J808" s="1030"/>
      <c r="K808" s="1030"/>
    </row>
    <row r="809" spans="1:11" ht="66" hidden="1" customHeight="1">
      <c r="A809" s="1031" t="s">
        <v>37</v>
      </c>
      <c r="B809" s="1033"/>
      <c r="C809" s="1037" t="s">
        <v>178</v>
      </c>
      <c r="D809" s="1037" t="s">
        <v>179</v>
      </c>
      <c r="E809" s="1037" t="s">
        <v>1521</v>
      </c>
      <c r="F809" s="1037" t="s">
        <v>14</v>
      </c>
      <c r="G809" s="1037" t="s">
        <v>1515</v>
      </c>
      <c r="H809" s="1037" t="s">
        <v>16</v>
      </c>
      <c r="I809" s="1039" t="s">
        <v>1490</v>
      </c>
      <c r="J809" s="1039" t="s">
        <v>2203</v>
      </c>
      <c r="K809" s="1037" t="s">
        <v>200</v>
      </c>
    </row>
    <row r="810" spans="1:11" s="500" customFormat="1" ht="30" hidden="1">
      <c r="A810" s="1034"/>
      <c r="B810" s="1036"/>
      <c r="C810" s="1038"/>
      <c r="D810" s="1038"/>
      <c r="E810" s="1038"/>
      <c r="F810" s="1038"/>
      <c r="G810" s="1038"/>
      <c r="H810" s="1038"/>
      <c r="I810" s="1039"/>
      <c r="J810" s="1039"/>
      <c r="K810" s="1038"/>
    </row>
    <row r="811" spans="1:11" s="500" customFormat="1" ht="74.25" hidden="1" customHeight="1">
      <c r="A811" s="1102" t="s">
        <v>1901</v>
      </c>
      <c r="B811" s="1103"/>
      <c r="C811" s="729"/>
      <c r="D811" s="729"/>
      <c r="E811" s="726"/>
      <c r="F811" s="727"/>
      <c r="G811" s="728"/>
      <c r="H811" s="728"/>
      <c r="I811" s="642">
        <f>I812+I824+I822</f>
        <v>44001.468000000001</v>
      </c>
      <c r="J811" s="642">
        <f>J812+J824+J822</f>
        <v>29334.311999999998</v>
      </c>
      <c r="K811" s="642">
        <f>I811+J811</f>
        <v>73335.78</v>
      </c>
    </row>
    <row r="812" spans="1:11" ht="75" hidden="1" customHeight="1">
      <c r="A812" s="1011" t="s">
        <v>1541</v>
      </c>
      <c r="B812" s="1013"/>
      <c r="C812" s="709"/>
      <c r="D812" s="709"/>
      <c r="E812" s="709"/>
      <c r="F812" s="708"/>
      <c r="G812" s="709"/>
      <c r="H812" s="710"/>
      <c r="I812" s="545">
        <f>SUM(I813:I821)</f>
        <v>32527.601999999999</v>
      </c>
      <c r="J812" s="545">
        <f>SUM(J813:J821)</f>
        <v>21685.067999999999</v>
      </c>
      <c r="K812" s="545">
        <f>I812+J812</f>
        <v>54212.67</v>
      </c>
    </row>
    <row r="813" spans="1:11" s="510" customFormat="1" ht="75" hidden="1" customHeight="1">
      <c r="A813" s="1020" t="s">
        <v>1919</v>
      </c>
      <c r="B813" s="1022"/>
      <c r="C813" s="714" t="s">
        <v>1904</v>
      </c>
      <c r="D813" s="714">
        <v>6</v>
      </c>
      <c r="E813" s="714" t="s">
        <v>1905</v>
      </c>
      <c r="F813" s="1044" t="s">
        <v>2246</v>
      </c>
      <c r="G813" s="1047">
        <v>8100</v>
      </c>
      <c r="H813" s="1099" t="s">
        <v>2273</v>
      </c>
      <c r="I813" s="717">
        <f t="shared" ref="I813:I821" si="27">K813/100*60</f>
        <v>360</v>
      </c>
      <c r="J813" s="717">
        <f t="shared" ref="J813:J821" si="28">K813/100*40</f>
        <v>240</v>
      </c>
      <c r="K813" s="717">
        <v>600</v>
      </c>
    </row>
    <row r="814" spans="1:11" s="510" customFormat="1" ht="75" hidden="1" customHeight="1">
      <c r="A814" s="1020" t="s">
        <v>1920</v>
      </c>
      <c r="B814" s="1022"/>
      <c r="C814" s="714" t="s">
        <v>1906</v>
      </c>
      <c r="D814" s="714">
        <v>4</v>
      </c>
      <c r="E814" s="714" t="s">
        <v>1907</v>
      </c>
      <c r="F814" s="1046"/>
      <c r="G814" s="1048"/>
      <c r="H814" s="1100"/>
      <c r="I814" s="717">
        <f t="shared" si="27"/>
        <v>3780</v>
      </c>
      <c r="J814" s="717">
        <f t="shared" si="28"/>
        <v>2520</v>
      </c>
      <c r="K814" s="717">
        <v>6300</v>
      </c>
    </row>
    <row r="815" spans="1:11" s="510" customFormat="1" ht="75" hidden="1" customHeight="1">
      <c r="A815" s="1020" t="s">
        <v>1606</v>
      </c>
      <c r="B815" s="1022"/>
      <c r="C815" s="714" t="s">
        <v>1908</v>
      </c>
      <c r="D815" s="714">
        <v>16</v>
      </c>
      <c r="E815" s="714" t="s">
        <v>1905</v>
      </c>
      <c r="F815" s="1044" t="s">
        <v>2247</v>
      </c>
      <c r="G815" s="1048"/>
      <c r="H815" s="1100"/>
      <c r="I815" s="717">
        <f t="shared" si="27"/>
        <v>3563.58</v>
      </c>
      <c r="J815" s="717">
        <f t="shared" si="28"/>
        <v>2375.7200000000003</v>
      </c>
      <c r="K815" s="717">
        <v>5939.3</v>
      </c>
    </row>
    <row r="816" spans="1:11" s="510" customFormat="1" ht="75" hidden="1" customHeight="1">
      <c r="A816" s="1020" t="s">
        <v>1921</v>
      </c>
      <c r="B816" s="1022"/>
      <c r="C816" s="714" t="s">
        <v>1908</v>
      </c>
      <c r="D816" s="714">
        <v>16</v>
      </c>
      <c r="E816" s="714" t="s">
        <v>1905</v>
      </c>
      <c r="F816" s="1045"/>
      <c r="G816" s="1048"/>
      <c r="H816" s="1100"/>
      <c r="I816" s="717">
        <f t="shared" si="27"/>
        <v>322.42200000000003</v>
      </c>
      <c r="J816" s="717">
        <f t="shared" si="28"/>
        <v>214.94800000000001</v>
      </c>
      <c r="K816" s="717">
        <v>537.37</v>
      </c>
    </row>
    <row r="817" spans="1:11" s="510" customFormat="1" ht="74.25" hidden="1" customHeight="1">
      <c r="A817" s="1020" t="s">
        <v>1922</v>
      </c>
      <c r="B817" s="1022"/>
      <c r="C817" s="714" t="s">
        <v>1909</v>
      </c>
      <c r="D817" s="714">
        <v>450</v>
      </c>
      <c r="E817" s="714" t="s">
        <v>1905</v>
      </c>
      <c r="F817" s="1046"/>
      <c r="G817" s="1048"/>
      <c r="H817" s="1100"/>
      <c r="I817" s="717">
        <f t="shared" si="27"/>
        <v>2160</v>
      </c>
      <c r="J817" s="717">
        <f t="shared" si="28"/>
        <v>1440</v>
      </c>
      <c r="K817" s="717">
        <v>3600</v>
      </c>
    </row>
    <row r="818" spans="1:11" s="510" customFormat="1" ht="75" hidden="1" customHeight="1">
      <c r="A818" s="1020" t="s">
        <v>1902</v>
      </c>
      <c r="B818" s="1022"/>
      <c r="C818" s="714" t="s">
        <v>1910</v>
      </c>
      <c r="D818" s="714">
        <v>2</v>
      </c>
      <c r="E818" s="714" t="s">
        <v>1905</v>
      </c>
      <c r="F818" s="1044" t="s">
        <v>2248</v>
      </c>
      <c r="G818" s="1048"/>
      <c r="H818" s="1100"/>
      <c r="I818" s="717">
        <f t="shared" si="27"/>
        <v>5100</v>
      </c>
      <c r="J818" s="717">
        <f t="shared" si="28"/>
        <v>3400</v>
      </c>
      <c r="K818" s="717">
        <v>8500</v>
      </c>
    </row>
    <row r="819" spans="1:11" s="510" customFormat="1" ht="75" hidden="1" customHeight="1">
      <c r="A819" s="1020" t="s">
        <v>1923</v>
      </c>
      <c r="B819" s="1022"/>
      <c r="C819" s="714" t="s">
        <v>1911</v>
      </c>
      <c r="D819" s="714">
        <v>8</v>
      </c>
      <c r="E819" s="714" t="s">
        <v>1905</v>
      </c>
      <c r="F819" s="1045"/>
      <c r="G819" s="1048"/>
      <c r="H819" s="1100"/>
      <c r="I819" s="717">
        <f t="shared" si="27"/>
        <v>960</v>
      </c>
      <c r="J819" s="717">
        <f t="shared" si="28"/>
        <v>640</v>
      </c>
      <c r="K819" s="717">
        <v>1600</v>
      </c>
    </row>
    <row r="820" spans="1:11" s="510" customFormat="1" ht="75" hidden="1" customHeight="1">
      <c r="A820" s="1020" t="s">
        <v>1924</v>
      </c>
      <c r="B820" s="1022"/>
      <c r="C820" s="714" t="s">
        <v>1912</v>
      </c>
      <c r="D820" s="714">
        <v>100</v>
      </c>
      <c r="E820" s="714" t="s">
        <v>1913</v>
      </c>
      <c r="F820" s="1045"/>
      <c r="G820" s="1048"/>
      <c r="H820" s="1100"/>
      <c r="I820" s="717">
        <f t="shared" si="27"/>
        <v>4833.6000000000004</v>
      </c>
      <c r="J820" s="717">
        <f t="shared" si="28"/>
        <v>3222.4</v>
      </c>
      <c r="K820" s="717">
        <v>8056</v>
      </c>
    </row>
    <row r="821" spans="1:11" s="510" customFormat="1" ht="75" hidden="1" customHeight="1">
      <c r="A821" s="1020" t="s">
        <v>1925</v>
      </c>
      <c r="B821" s="1022"/>
      <c r="C821" s="714" t="s">
        <v>1914</v>
      </c>
      <c r="D821" s="714">
        <v>36</v>
      </c>
      <c r="E821" s="714" t="s">
        <v>1913</v>
      </c>
      <c r="F821" s="1046"/>
      <c r="G821" s="1049"/>
      <c r="H821" s="1101"/>
      <c r="I821" s="717">
        <f t="shared" si="27"/>
        <v>11448</v>
      </c>
      <c r="J821" s="717">
        <f t="shared" si="28"/>
        <v>7632</v>
      </c>
      <c r="K821" s="717">
        <v>19080</v>
      </c>
    </row>
    <row r="822" spans="1:11" ht="73.5" hidden="1" customHeight="1">
      <c r="A822" s="1011" t="s">
        <v>278</v>
      </c>
      <c r="B822" s="1013"/>
      <c r="C822" s="709"/>
      <c r="D822" s="709"/>
      <c r="E822" s="709"/>
      <c r="F822" s="708"/>
      <c r="G822" s="709"/>
      <c r="H822" s="710"/>
      <c r="I822" s="545">
        <f>SUM(I823:I823)</f>
        <v>2520</v>
      </c>
      <c r="J822" s="545">
        <f>SUM(J823:J823)</f>
        <v>1680</v>
      </c>
      <c r="K822" s="545">
        <f>I822+J822</f>
        <v>4200</v>
      </c>
    </row>
    <row r="823" spans="1:11" s="510" customFormat="1" ht="74.25" hidden="1" customHeight="1">
      <c r="A823" s="1020" t="s">
        <v>1903</v>
      </c>
      <c r="B823" s="1022"/>
      <c r="C823" s="714" t="s">
        <v>1215</v>
      </c>
      <c r="D823" s="714">
        <v>4</v>
      </c>
      <c r="E823" s="714" t="s">
        <v>1915</v>
      </c>
      <c r="F823" s="833" t="s">
        <v>2235</v>
      </c>
      <c r="G823" s="827">
        <v>8100</v>
      </c>
      <c r="H823" s="834" t="s">
        <v>2445</v>
      </c>
      <c r="I823" s="717">
        <f>K823/100*60</f>
        <v>2520</v>
      </c>
      <c r="J823" s="717">
        <f>K823/100*40</f>
        <v>1680</v>
      </c>
      <c r="K823" s="717">
        <v>4200</v>
      </c>
    </row>
    <row r="824" spans="1:11" ht="73.5" hidden="1" customHeight="1">
      <c r="A824" s="1011" t="s">
        <v>312</v>
      </c>
      <c r="B824" s="1013"/>
      <c r="C824" s="709"/>
      <c r="D824" s="709"/>
      <c r="E824" s="709"/>
      <c r="F824" s="708"/>
      <c r="G824" s="709"/>
      <c r="H824" s="710"/>
      <c r="I824" s="545">
        <f>SUM(I825:I827)</f>
        <v>8953.866</v>
      </c>
      <c r="J824" s="545">
        <f>SUM(J825:J827)</f>
        <v>5969.2439999999997</v>
      </c>
      <c r="K824" s="545">
        <f>I824+J824</f>
        <v>14923.11</v>
      </c>
    </row>
    <row r="825" spans="1:11" s="510" customFormat="1" ht="74.25" hidden="1" customHeight="1">
      <c r="A825" s="1020" t="s">
        <v>1926</v>
      </c>
      <c r="B825" s="1022"/>
      <c r="C825" s="714" t="s">
        <v>1916</v>
      </c>
      <c r="D825" s="714">
        <v>8</v>
      </c>
      <c r="E825" s="714" t="s">
        <v>1917</v>
      </c>
      <c r="F825" s="1044" t="s">
        <v>2225</v>
      </c>
      <c r="G825" s="1047">
        <v>8100</v>
      </c>
      <c r="H825" s="1099" t="s">
        <v>2273</v>
      </c>
      <c r="I825" s="717">
        <f>K825/100*60</f>
        <v>4200</v>
      </c>
      <c r="J825" s="717">
        <f>K825/100*40</f>
        <v>2800</v>
      </c>
      <c r="K825" s="717">
        <v>7000</v>
      </c>
    </row>
    <row r="826" spans="1:11" s="510" customFormat="1" ht="74.25" hidden="1" customHeight="1">
      <c r="A826" s="1020" t="s">
        <v>1927</v>
      </c>
      <c r="B826" s="1022"/>
      <c r="C826" s="714" t="s">
        <v>1918</v>
      </c>
      <c r="D826" s="714">
        <v>9</v>
      </c>
      <c r="E826" s="714" t="s">
        <v>1917</v>
      </c>
      <c r="F826" s="1045"/>
      <c r="G826" s="1048"/>
      <c r="H826" s="1100"/>
      <c r="I826" s="717">
        <f>K826/100*60</f>
        <v>1800</v>
      </c>
      <c r="J826" s="717">
        <f>K826/100*40</f>
        <v>1200</v>
      </c>
      <c r="K826" s="717">
        <v>3000</v>
      </c>
    </row>
    <row r="827" spans="1:11" s="510" customFormat="1" ht="74.25" hidden="1" customHeight="1">
      <c r="A827" s="1020" t="s">
        <v>1928</v>
      </c>
      <c r="B827" s="1022"/>
      <c r="C827" s="714" t="s">
        <v>1908</v>
      </c>
      <c r="D827" s="714">
        <v>16</v>
      </c>
      <c r="E827" s="714" t="s">
        <v>1905</v>
      </c>
      <c r="F827" s="1046"/>
      <c r="G827" s="1049"/>
      <c r="H827" s="1101"/>
      <c r="I827" s="717">
        <f>K827/100*60</f>
        <v>2953.866</v>
      </c>
      <c r="J827" s="717">
        <f>K827/100*40</f>
        <v>1969.2439999999999</v>
      </c>
      <c r="K827" s="717">
        <v>4923.1099999999997</v>
      </c>
    </row>
    <row r="828" spans="1:11" ht="98.25" hidden="1" customHeight="1">
      <c r="A828" s="1141"/>
      <c r="B828" s="1141"/>
      <c r="C828" s="1141"/>
      <c r="D828" s="1141"/>
      <c r="E828" s="1141"/>
      <c r="F828" s="1141"/>
      <c r="G828" s="1141"/>
      <c r="H828" s="1141"/>
      <c r="I828" s="1141"/>
      <c r="J828" s="1141"/>
      <c r="K828" s="1141"/>
    </row>
    <row r="829" spans="1:11" ht="54.75" hidden="1" customHeight="1">
      <c r="A829" s="528"/>
      <c r="B829" s="529"/>
      <c r="C829" s="529"/>
      <c r="D829" s="530"/>
      <c r="E829" s="531"/>
      <c r="F829" s="532"/>
      <c r="G829" s="533"/>
      <c r="H829" s="534"/>
      <c r="I829" s="535"/>
      <c r="J829" s="535"/>
      <c r="K829" s="535"/>
    </row>
    <row r="830" spans="1:11" ht="34.5" hidden="1" customHeight="1">
      <c r="A830" s="1128" t="s">
        <v>51</v>
      </c>
      <c r="B830" s="1128"/>
      <c r="C830" s="1128"/>
      <c r="D830" s="1128"/>
      <c r="E830" s="1128"/>
      <c r="F830" s="1128"/>
      <c r="G830" s="1128"/>
      <c r="H830" s="1128"/>
      <c r="I830" s="1128"/>
      <c r="J830" s="1128"/>
      <c r="K830" s="1128"/>
    </row>
    <row r="831" spans="1:11" ht="30.75" hidden="1" customHeight="1">
      <c r="A831" s="1128" t="s">
        <v>52</v>
      </c>
      <c r="B831" s="1128"/>
      <c r="C831" s="1128"/>
      <c r="D831" s="1128"/>
      <c r="E831" s="1128"/>
      <c r="F831" s="1128"/>
      <c r="G831" s="1128"/>
      <c r="H831" s="1128"/>
      <c r="I831" s="1128"/>
      <c r="J831" s="1128"/>
      <c r="K831" s="1128"/>
    </row>
    <row r="832" spans="1:11" ht="33" hidden="1" customHeight="1">
      <c r="A832" s="1132" t="s">
        <v>50</v>
      </c>
      <c r="B832" s="1132"/>
      <c r="C832" s="1132"/>
      <c r="D832" s="1132"/>
      <c r="E832" s="1132"/>
      <c r="F832" s="1132"/>
      <c r="G832" s="1132"/>
      <c r="H832" s="1132"/>
      <c r="I832" s="1132"/>
      <c r="J832" s="1132"/>
      <c r="K832" s="1132"/>
    </row>
    <row r="833" spans="1:11" ht="33" hidden="1" customHeight="1">
      <c r="A833" s="154"/>
      <c r="B833" s="154"/>
      <c r="C833" s="154"/>
      <c r="D833" s="154"/>
      <c r="E833" s="154"/>
      <c r="F833" s="154"/>
      <c r="G833" s="707"/>
      <c r="H833" s="707"/>
      <c r="I833" s="707"/>
      <c r="J833" s="707"/>
      <c r="K833" s="707"/>
    </row>
    <row r="834" spans="1:11" ht="35.25" hidden="1">
      <c r="A834" s="1128" t="s">
        <v>1336</v>
      </c>
      <c r="B834" s="1128"/>
      <c r="C834" s="1128"/>
      <c r="D834" s="1128"/>
      <c r="E834" s="1128"/>
      <c r="F834" s="1128"/>
      <c r="G834" s="1128"/>
      <c r="H834" s="1128"/>
      <c r="I834" s="1128"/>
      <c r="J834" s="1128"/>
      <c r="K834" s="1128"/>
    </row>
    <row r="835" spans="1:11" s="620" customFormat="1" ht="33" hidden="1">
      <c r="A835" s="65"/>
      <c r="B835" s="65"/>
      <c r="C835" s="65"/>
      <c r="D835" s="65"/>
      <c r="E835" s="65"/>
      <c r="F835" s="65"/>
      <c r="G835" s="68"/>
      <c r="H835" s="68"/>
      <c r="I835" s="68"/>
      <c r="J835" s="68"/>
      <c r="K835" s="68"/>
    </row>
    <row r="836" spans="1:11" ht="20.100000000000001" hidden="1" customHeight="1">
      <c r="A836" s="65"/>
      <c r="B836" s="65"/>
      <c r="C836" s="65"/>
      <c r="D836" s="65"/>
      <c r="E836" s="65"/>
      <c r="F836" s="65"/>
      <c r="G836" s="68"/>
      <c r="H836" s="68"/>
      <c r="I836" s="68"/>
      <c r="J836" s="68"/>
      <c r="K836" s="68"/>
    </row>
    <row r="837" spans="1:11" ht="20.100000000000001" hidden="1" customHeight="1">
      <c r="A837" s="979"/>
      <c r="B837" s="979"/>
      <c r="C837" s="979"/>
      <c r="D837" s="979"/>
      <c r="E837" s="979"/>
      <c r="F837" s="979"/>
      <c r="G837" s="979"/>
      <c r="H837" s="979"/>
      <c r="I837" s="979"/>
      <c r="J837" s="979"/>
      <c r="K837" s="979"/>
    </row>
    <row r="838" spans="1:11" ht="45.75" hidden="1" customHeight="1">
      <c r="A838" s="1030" t="s">
        <v>1382</v>
      </c>
      <c r="B838" s="1030"/>
      <c r="C838" s="1030"/>
      <c r="D838" s="1030"/>
      <c r="E838" s="1030"/>
      <c r="F838" s="1030"/>
      <c r="G838" s="1030"/>
      <c r="H838" s="1030"/>
      <c r="I838" s="1030"/>
      <c r="J838" s="1030"/>
      <c r="K838" s="1030"/>
    </row>
    <row r="839" spans="1:11" ht="66" hidden="1" customHeight="1">
      <c r="A839" s="1031" t="s">
        <v>37</v>
      </c>
      <c r="B839" s="1033"/>
      <c r="C839" s="1037" t="s">
        <v>178</v>
      </c>
      <c r="D839" s="1037" t="s">
        <v>179</v>
      </c>
      <c r="E839" s="1037" t="s">
        <v>1521</v>
      </c>
      <c r="F839" s="1037" t="s">
        <v>14</v>
      </c>
      <c r="G839" s="1037" t="s">
        <v>1515</v>
      </c>
      <c r="H839" s="1037" t="s">
        <v>16</v>
      </c>
      <c r="I839" s="1039" t="s">
        <v>1490</v>
      </c>
      <c r="J839" s="1039" t="s">
        <v>2203</v>
      </c>
      <c r="K839" s="1037" t="s">
        <v>200</v>
      </c>
    </row>
    <row r="840" spans="1:11" s="500" customFormat="1" ht="30" hidden="1">
      <c r="A840" s="1034"/>
      <c r="B840" s="1036"/>
      <c r="C840" s="1038"/>
      <c r="D840" s="1038"/>
      <c r="E840" s="1038"/>
      <c r="F840" s="1038"/>
      <c r="G840" s="1038"/>
      <c r="H840" s="1038"/>
      <c r="I840" s="1039"/>
      <c r="J840" s="1039"/>
      <c r="K840" s="1038"/>
    </row>
    <row r="841" spans="1:11" s="500" customFormat="1" ht="74.25" hidden="1" customHeight="1">
      <c r="A841" s="1102" t="s">
        <v>1982</v>
      </c>
      <c r="B841" s="1103"/>
      <c r="C841" s="729"/>
      <c r="D841" s="729"/>
      <c r="E841" s="726"/>
      <c r="F841" s="727"/>
      <c r="G841" s="728"/>
      <c r="H841" s="728"/>
      <c r="I841" s="642">
        <f>I842+I851+I849</f>
        <v>42717</v>
      </c>
      <c r="J841" s="642">
        <f>J842+J851+J849</f>
        <v>28478</v>
      </c>
      <c r="K841" s="642">
        <f>I841+J841</f>
        <v>71195</v>
      </c>
    </row>
    <row r="842" spans="1:11" ht="75" hidden="1" customHeight="1">
      <c r="A842" s="1011" t="s">
        <v>1541</v>
      </c>
      <c r="B842" s="1013"/>
      <c r="C842" s="709"/>
      <c r="D842" s="709"/>
      <c r="E842" s="709"/>
      <c r="F842" s="708"/>
      <c r="G842" s="709"/>
      <c r="H842" s="710"/>
      <c r="I842" s="545">
        <f>SUM(I843:I848)</f>
        <v>38817</v>
      </c>
      <c r="J842" s="545">
        <f>SUM(J843:J848)</f>
        <v>25878</v>
      </c>
      <c r="K842" s="545">
        <f>I842+J842</f>
        <v>64695</v>
      </c>
    </row>
    <row r="843" spans="1:11" s="510" customFormat="1" ht="75" hidden="1" customHeight="1">
      <c r="A843" s="825" t="s">
        <v>1984</v>
      </c>
      <c r="B843" s="826"/>
      <c r="C843" s="714" t="s">
        <v>1993</v>
      </c>
      <c r="D843" s="714">
        <v>1</v>
      </c>
      <c r="E843" s="714" t="s">
        <v>1994</v>
      </c>
      <c r="F843" s="829" t="s">
        <v>2249</v>
      </c>
      <c r="G843" s="1047">
        <v>8100</v>
      </c>
      <c r="H843" s="1099" t="s">
        <v>2273</v>
      </c>
      <c r="I843" s="717">
        <f t="shared" ref="I843:I848" si="29">K843/100*60</f>
        <v>3571.2000000000003</v>
      </c>
      <c r="J843" s="717">
        <f t="shared" ref="J843:J848" si="30">K843/100*40</f>
        <v>2380.8000000000002</v>
      </c>
      <c r="K843" s="717">
        <v>5952</v>
      </c>
    </row>
    <row r="844" spans="1:11" s="510" customFormat="1" ht="75" hidden="1" customHeight="1">
      <c r="A844" s="825" t="s">
        <v>1985</v>
      </c>
      <c r="B844" s="826"/>
      <c r="C844" s="714" t="s">
        <v>79</v>
      </c>
      <c r="D844" s="714"/>
      <c r="E844" s="714" t="s">
        <v>1544</v>
      </c>
      <c r="F844" s="1044" t="s">
        <v>2246</v>
      </c>
      <c r="G844" s="1048"/>
      <c r="H844" s="1100"/>
      <c r="I844" s="717">
        <f t="shared" si="29"/>
        <v>6000</v>
      </c>
      <c r="J844" s="717">
        <f t="shared" si="30"/>
        <v>4000</v>
      </c>
      <c r="K844" s="717">
        <v>10000</v>
      </c>
    </row>
    <row r="845" spans="1:11" s="510" customFormat="1" ht="75" hidden="1" customHeight="1">
      <c r="A845" s="825" t="s">
        <v>1986</v>
      </c>
      <c r="B845" s="826"/>
      <c r="C845" s="714" t="s">
        <v>1995</v>
      </c>
      <c r="D845" s="714">
        <v>1</v>
      </c>
      <c r="E845" s="714" t="s">
        <v>1649</v>
      </c>
      <c r="F845" s="1046"/>
      <c r="G845" s="1048"/>
      <c r="H845" s="1100"/>
      <c r="I845" s="717">
        <f t="shared" si="29"/>
        <v>8245.8000000000011</v>
      </c>
      <c r="J845" s="717">
        <f t="shared" si="30"/>
        <v>5497.2000000000007</v>
      </c>
      <c r="K845" s="717">
        <v>13743</v>
      </c>
    </row>
    <row r="846" spans="1:11" s="510" customFormat="1" ht="75" hidden="1" customHeight="1">
      <c r="A846" s="825" t="s">
        <v>1983</v>
      </c>
      <c r="B846" s="826"/>
      <c r="C846" s="714" t="s">
        <v>1991</v>
      </c>
      <c r="D846" s="714">
        <v>2</v>
      </c>
      <c r="E846" s="714" t="s">
        <v>1992</v>
      </c>
      <c r="F846" s="829" t="s">
        <v>2247</v>
      </c>
      <c r="G846" s="1048"/>
      <c r="H846" s="1100"/>
      <c r="I846" s="717">
        <f t="shared" si="29"/>
        <v>9000</v>
      </c>
      <c r="J846" s="717">
        <f t="shared" si="30"/>
        <v>6000</v>
      </c>
      <c r="K846" s="717">
        <v>15000</v>
      </c>
    </row>
    <row r="847" spans="1:11" s="510" customFormat="1" ht="74.25" hidden="1" customHeight="1">
      <c r="A847" s="825" t="s">
        <v>1987</v>
      </c>
      <c r="B847" s="826"/>
      <c r="C847" s="714" t="s">
        <v>1996</v>
      </c>
      <c r="D847" s="714">
        <v>10</v>
      </c>
      <c r="E847" s="714" t="s">
        <v>1997</v>
      </c>
      <c r="F847" s="1044" t="s">
        <v>2248</v>
      </c>
      <c r="G847" s="1048"/>
      <c r="H847" s="1100"/>
      <c r="I847" s="717">
        <f t="shared" si="29"/>
        <v>9000</v>
      </c>
      <c r="J847" s="717">
        <f t="shared" si="30"/>
        <v>6000</v>
      </c>
      <c r="K847" s="717">
        <v>15000</v>
      </c>
    </row>
    <row r="848" spans="1:11" s="510" customFormat="1" ht="75" hidden="1" customHeight="1">
      <c r="A848" s="825" t="s">
        <v>1988</v>
      </c>
      <c r="B848" s="826"/>
      <c r="C848" s="714" t="s">
        <v>216</v>
      </c>
      <c r="D848" s="714">
        <v>9</v>
      </c>
      <c r="E848" s="714" t="s">
        <v>1997</v>
      </c>
      <c r="F848" s="1046"/>
      <c r="G848" s="1049"/>
      <c r="H848" s="1101"/>
      <c r="I848" s="717">
        <f t="shared" si="29"/>
        <v>3000</v>
      </c>
      <c r="J848" s="717">
        <f t="shared" si="30"/>
        <v>2000</v>
      </c>
      <c r="K848" s="717">
        <v>5000</v>
      </c>
    </row>
    <row r="849" spans="1:11" ht="73.5" hidden="1" customHeight="1">
      <c r="A849" s="1011" t="s">
        <v>278</v>
      </c>
      <c r="B849" s="1013"/>
      <c r="C849" s="709"/>
      <c r="D849" s="709"/>
      <c r="E849" s="709"/>
      <c r="F849" s="708"/>
      <c r="G849" s="709"/>
      <c r="H849" s="710"/>
      <c r="I849" s="545">
        <f>SUM(I850:I850)</f>
        <v>1500</v>
      </c>
      <c r="J849" s="545">
        <f>SUM(J850:J850)</f>
        <v>1000</v>
      </c>
      <c r="K849" s="545">
        <f>I849+J849</f>
        <v>2500</v>
      </c>
    </row>
    <row r="850" spans="1:11" s="510" customFormat="1" ht="74.25" hidden="1" customHeight="1">
      <c r="A850" s="1020" t="s">
        <v>1903</v>
      </c>
      <c r="B850" s="1022"/>
      <c r="C850" s="714" t="s">
        <v>1215</v>
      </c>
      <c r="D850" s="714">
        <v>5</v>
      </c>
      <c r="E850" s="714" t="s">
        <v>1998</v>
      </c>
      <c r="F850" s="833" t="s">
        <v>2235</v>
      </c>
      <c r="G850" s="827">
        <v>8100</v>
      </c>
      <c r="H850" s="834" t="s">
        <v>2445</v>
      </c>
      <c r="I850" s="717">
        <f>K850/100*60</f>
        <v>1500</v>
      </c>
      <c r="J850" s="717">
        <f>K850/100*40</f>
        <v>1000</v>
      </c>
      <c r="K850" s="717">
        <v>2500</v>
      </c>
    </row>
    <row r="851" spans="1:11" ht="73.5" hidden="1" customHeight="1">
      <c r="A851" s="1011" t="s">
        <v>312</v>
      </c>
      <c r="B851" s="1013"/>
      <c r="C851" s="709"/>
      <c r="D851" s="709"/>
      <c r="E851" s="709"/>
      <c r="F851" s="708"/>
      <c r="G851" s="709"/>
      <c r="H851" s="710"/>
      <c r="I851" s="545">
        <f>SUM(I852:I853)</f>
        <v>2400</v>
      </c>
      <c r="J851" s="545">
        <f>SUM(J852:J853)</f>
        <v>1600</v>
      </c>
      <c r="K851" s="545">
        <f>I851+J851</f>
        <v>4000</v>
      </c>
    </row>
    <row r="852" spans="1:11" s="510" customFormat="1" ht="74.25" hidden="1" customHeight="1">
      <c r="A852" s="825" t="s">
        <v>1989</v>
      </c>
      <c r="B852" s="826"/>
      <c r="C852" s="714" t="s">
        <v>1999</v>
      </c>
      <c r="D852" s="714">
        <v>35</v>
      </c>
      <c r="E852" s="714" t="s">
        <v>2000</v>
      </c>
      <c r="F852" s="1044" t="s">
        <v>2225</v>
      </c>
      <c r="G852" s="1047">
        <v>8100</v>
      </c>
      <c r="H852" s="1099" t="s">
        <v>2273</v>
      </c>
      <c r="I852" s="717">
        <f>K852/100*60</f>
        <v>600</v>
      </c>
      <c r="J852" s="717">
        <f>K852/100*40</f>
        <v>400</v>
      </c>
      <c r="K852" s="717">
        <v>1000</v>
      </c>
    </row>
    <row r="853" spans="1:11" s="510" customFormat="1" ht="74.25" hidden="1" customHeight="1">
      <c r="A853" s="825" t="s">
        <v>1990</v>
      </c>
      <c r="B853" s="826"/>
      <c r="C853" s="714" t="s">
        <v>2001</v>
      </c>
      <c r="D853" s="714">
        <v>7</v>
      </c>
      <c r="E853" s="714" t="s">
        <v>2002</v>
      </c>
      <c r="F853" s="1045"/>
      <c r="G853" s="1048"/>
      <c r="H853" s="1100"/>
      <c r="I853" s="717">
        <f>K853/100*60</f>
        <v>1800</v>
      </c>
      <c r="J853" s="717">
        <f>K853/100*40</f>
        <v>1200</v>
      </c>
      <c r="K853" s="717">
        <v>3000</v>
      </c>
    </row>
    <row r="854" spans="1:11" ht="102.75" hidden="1" customHeight="1">
      <c r="A854" s="1021" t="s">
        <v>1484</v>
      </c>
      <c r="B854" s="1021"/>
      <c r="C854" s="1021"/>
      <c r="D854" s="1021"/>
      <c r="E854" s="1021"/>
      <c r="F854" s="1021"/>
      <c r="G854" s="1021"/>
      <c r="H854" s="1021"/>
      <c r="I854" s="1021"/>
      <c r="J854" s="1021"/>
      <c r="K854" s="1021"/>
    </row>
    <row r="855" spans="1:11" s="743" customFormat="1" ht="36.75" hidden="1" customHeight="1">
      <c r="A855" s="1135"/>
      <c r="B855" s="1136"/>
      <c r="C855" s="738"/>
      <c r="D855" s="738"/>
      <c r="E855" s="739"/>
      <c r="F855" s="740"/>
      <c r="G855" s="741"/>
      <c r="H855" s="741"/>
      <c r="I855" s="742"/>
      <c r="J855" s="742"/>
      <c r="K855" s="742"/>
    </row>
    <row r="856" spans="1:11" ht="66" hidden="1" customHeight="1">
      <c r="A856" s="1031" t="s">
        <v>37</v>
      </c>
      <c r="B856" s="1033"/>
      <c r="C856" s="1037" t="s">
        <v>178</v>
      </c>
      <c r="D856" s="1037" t="s">
        <v>179</v>
      </c>
      <c r="E856" s="1037" t="s">
        <v>1521</v>
      </c>
      <c r="F856" s="1037" t="s">
        <v>14</v>
      </c>
      <c r="G856" s="1037" t="s">
        <v>1515</v>
      </c>
      <c r="H856" s="1037" t="s">
        <v>16</v>
      </c>
      <c r="I856" s="1039" t="s">
        <v>1490</v>
      </c>
      <c r="J856" s="1039" t="s">
        <v>2203</v>
      </c>
      <c r="K856" s="1037" t="s">
        <v>200</v>
      </c>
    </row>
    <row r="857" spans="1:11" s="500" customFormat="1" ht="30" hidden="1">
      <c r="A857" s="1034"/>
      <c r="B857" s="1036"/>
      <c r="C857" s="1038"/>
      <c r="D857" s="1038"/>
      <c r="E857" s="1038"/>
      <c r="F857" s="1038"/>
      <c r="G857" s="1038"/>
      <c r="H857" s="1038"/>
      <c r="I857" s="1039"/>
      <c r="J857" s="1039"/>
      <c r="K857" s="1038"/>
    </row>
    <row r="858" spans="1:11" s="500" customFormat="1" ht="74.25" hidden="1" customHeight="1">
      <c r="A858" s="1102" t="s">
        <v>2210</v>
      </c>
      <c r="B858" s="1103"/>
      <c r="C858" s="729"/>
      <c r="D858" s="729"/>
      <c r="E858" s="726"/>
      <c r="F858" s="727"/>
      <c r="G858" s="728"/>
      <c r="H858" s="728"/>
      <c r="I858" s="642">
        <f>I859+I863</f>
        <v>36599.4</v>
      </c>
      <c r="J858" s="642">
        <f>J859+J863</f>
        <v>24399.599999999999</v>
      </c>
      <c r="K858" s="642">
        <f>I858+J858</f>
        <v>60999</v>
      </c>
    </row>
    <row r="859" spans="1:11" ht="75" hidden="1" customHeight="1">
      <c r="A859" s="1011" t="s">
        <v>1541</v>
      </c>
      <c r="B859" s="1013"/>
      <c r="C859" s="709"/>
      <c r="D859" s="709"/>
      <c r="E859" s="709"/>
      <c r="F859" s="708"/>
      <c r="G859" s="709"/>
      <c r="H859" s="710"/>
      <c r="I859" s="545">
        <f>SUM(I860:I862)</f>
        <v>34200</v>
      </c>
      <c r="J859" s="545">
        <f>SUM(J860:J862)</f>
        <v>22800</v>
      </c>
      <c r="K859" s="545">
        <f>I859+J859</f>
        <v>57000</v>
      </c>
    </row>
    <row r="860" spans="1:11" s="510" customFormat="1" ht="75" hidden="1" customHeight="1">
      <c r="A860" s="1020" t="s">
        <v>2208</v>
      </c>
      <c r="B860" s="1022"/>
      <c r="C860" s="714" t="s">
        <v>1544</v>
      </c>
      <c r="D860" s="714"/>
      <c r="E860" s="714" t="s">
        <v>1544</v>
      </c>
      <c r="F860" s="829" t="s">
        <v>2246</v>
      </c>
      <c r="G860" s="1047">
        <v>8100</v>
      </c>
      <c r="H860" s="1099" t="s">
        <v>2273</v>
      </c>
      <c r="I860" s="717">
        <f>K860/100*60</f>
        <v>9000</v>
      </c>
      <c r="J860" s="717">
        <f>K860/100*40</f>
        <v>6000</v>
      </c>
      <c r="K860" s="717">
        <v>15000</v>
      </c>
    </row>
    <row r="861" spans="1:11" s="510" customFormat="1" ht="74.25" hidden="1" customHeight="1">
      <c r="A861" s="1020" t="s">
        <v>1546</v>
      </c>
      <c r="B861" s="1022"/>
      <c r="C861" s="714" t="s">
        <v>1544</v>
      </c>
      <c r="D861" s="714"/>
      <c r="E861" s="714" t="s">
        <v>1544</v>
      </c>
      <c r="F861" s="829" t="s">
        <v>2247</v>
      </c>
      <c r="G861" s="1048"/>
      <c r="H861" s="1100"/>
      <c r="I861" s="717">
        <f>K861/100*60</f>
        <v>10200</v>
      </c>
      <c r="J861" s="717">
        <f>K861/100*40</f>
        <v>6800</v>
      </c>
      <c r="K861" s="717">
        <v>17000</v>
      </c>
    </row>
    <row r="862" spans="1:11" s="510" customFormat="1" ht="74.25" hidden="1" customHeight="1">
      <c r="A862" s="1020" t="s">
        <v>2209</v>
      </c>
      <c r="B862" s="1022"/>
      <c r="C862" s="714" t="s">
        <v>1544</v>
      </c>
      <c r="D862" s="714"/>
      <c r="E862" s="714" t="s">
        <v>1544</v>
      </c>
      <c r="F862" s="829" t="s">
        <v>2248</v>
      </c>
      <c r="G862" s="1048"/>
      <c r="H862" s="1100"/>
      <c r="I862" s="717">
        <f>K862/100*60</f>
        <v>15000</v>
      </c>
      <c r="J862" s="717">
        <f>K862/100*40</f>
        <v>10000</v>
      </c>
      <c r="K862" s="717">
        <v>25000</v>
      </c>
    </row>
    <row r="863" spans="1:11" ht="73.5" hidden="1" customHeight="1">
      <c r="A863" s="1011" t="s">
        <v>312</v>
      </c>
      <c r="B863" s="1013"/>
      <c r="C863" s="709"/>
      <c r="D863" s="709"/>
      <c r="E863" s="709"/>
      <c r="F863" s="708"/>
      <c r="G863" s="709"/>
      <c r="H863" s="710"/>
      <c r="I863" s="545">
        <f>SUM(I864:I864)</f>
        <v>2399.4</v>
      </c>
      <c r="J863" s="545">
        <f>SUM(J864:J864)</f>
        <v>1599.6000000000001</v>
      </c>
      <c r="K863" s="545">
        <f>I863+J863</f>
        <v>3999</v>
      </c>
    </row>
    <row r="864" spans="1:11" s="510" customFormat="1" ht="74.25" hidden="1" customHeight="1">
      <c r="A864" s="1020" t="s">
        <v>2211</v>
      </c>
      <c r="B864" s="1022"/>
      <c r="C864" s="714" t="s">
        <v>1544</v>
      </c>
      <c r="D864" s="714"/>
      <c r="E864" s="714" t="s">
        <v>1544</v>
      </c>
      <c r="F864" s="833" t="s">
        <v>2225</v>
      </c>
      <c r="G864" s="835">
        <v>8100</v>
      </c>
      <c r="H864" s="834" t="s">
        <v>2273</v>
      </c>
      <c r="I864" s="717">
        <f>K864/100*60</f>
        <v>2399.4</v>
      </c>
      <c r="J864" s="717">
        <f>K864/100*40</f>
        <v>1599.6000000000001</v>
      </c>
      <c r="K864" s="717">
        <v>3999</v>
      </c>
    </row>
    <row r="865" spans="1:11" ht="54.75" hidden="1" customHeight="1">
      <c r="A865" s="528"/>
      <c r="B865" s="529"/>
      <c r="C865" s="529"/>
      <c r="D865" s="530"/>
      <c r="E865" s="531"/>
      <c r="F865" s="532"/>
      <c r="G865" s="533"/>
      <c r="H865" s="534"/>
      <c r="I865" s="535"/>
      <c r="J865" s="535"/>
      <c r="K865" s="535"/>
    </row>
    <row r="866" spans="1:11" ht="54.75" hidden="1" customHeight="1">
      <c r="A866" s="528"/>
      <c r="B866" s="529"/>
      <c r="C866" s="529"/>
      <c r="D866" s="530"/>
      <c r="E866" s="531"/>
      <c r="F866" s="532"/>
      <c r="G866" s="533"/>
      <c r="H866" s="649"/>
      <c r="I866" s="535"/>
      <c r="J866" s="535"/>
      <c r="K866" s="535"/>
    </row>
    <row r="867" spans="1:11" ht="45">
      <c r="A867" s="979" t="s">
        <v>2493</v>
      </c>
      <c r="B867" s="979"/>
      <c r="C867" s="979"/>
      <c r="D867" s="979"/>
      <c r="E867" s="979"/>
      <c r="F867" s="979"/>
      <c r="G867" s="979"/>
      <c r="H867" s="979"/>
      <c r="I867" s="979"/>
      <c r="J867" s="979"/>
      <c r="K867" s="979"/>
    </row>
    <row r="868" spans="1:11" ht="45">
      <c r="A868" s="979" t="s">
        <v>52</v>
      </c>
      <c r="B868" s="979"/>
      <c r="C868" s="979"/>
      <c r="D868" s="979"/>
      <c r="E868" s="979"/>
      <c r="F868" s="979"/>
      <c r="G868" s="979"/>
      <c r="H868" s="979"/>
      <c r="I868" s="979"/>
      <c r="J868" s="979"/>
      <c r="K868" s="979"/>
    </row>
    <row r="869" spans="1:11" ht="45">
      <c r="A869" s="1040" t="s">
        <v>50</v>
      </c>
      <c r="B869" s="1040"/>
      <c r="C869" s="1040"/>
      <c r="D869" s="1040"/>
      <c r="E869" s="1040"/>
      <c r="F869" s="1040"/>
      <c r="G869" s="1040"/>
      <c r="H869" s="1040"/>
      <c r="I869" s="1040"/>
      <c r="J869" s="1040"/>
      <c r="K869" s="1040"/>
    </row>
    <row r="870" spans="1:11" ht="44.25">
      <c r="A870" s="736"/>
      <c r="B870" s="736"/>
      <c r="C870" s="736"/>
      <c r="D870" s="736"/>
      <c r="E870" s="736"/>
      <c r="F870" s="736"/>
      <c r="G870" s="838"/>
      <c r="H870" s="838"/>
      <c r="I870" s="838"/>
      <c r="J870" s="838"/>
      <c r="K870" s="838"/>
    </row>
    <row r="871" spans="1:11" ht="45">
      <c r="A871" s="979" t="s">
        <v>1489</v>
      </c>
      <c r="B871" s="979"/>
      <c r="C871" s="979"/>
      <c r="D871" s="979"/>
      <c r="E871" s="979"/>
      <c r="F871" s="979"/>
      <c r="G871" s="979"/>
      <c r="H871" s="979"/>
      <c r="I871" s="979"/>
      <c r="J871" s="979"/>
      <c r="K871" s="979"/>
    </row>
    <row r="872" spans="1:11" s="620" customFormat="1" ht="33">
      <c r="A872" s="65"/>
      <c r="B872" s="65"/>
      <c r="C872" s="65"/>
      <c r="D872" s="65"/>
      <c r="E872" s="65"/>
      <c r="F872" s="65"/>
      <c r="G872" s="68"/>
      <c r="H872" s="68"/>
      <c r="I872" s="68"/>
      <c r="J872" s="68"/>
      <c r="K872" s="68"/>
    </row>
    <row r="873" spans="1:11" ht="20.100000000000001" customHeight="1">
      <c r="A873" s="65"/>
      <c r="B873" s="65"/>
      <c r="C873" s="65"/>
      <c r="D873" s="65"/>
      <c r="E873" s="65"/>
      <c r="F873" s="65"/>
      <c r="G873" s="68"/>
      <c r="H873" s="68"/>
      <c r="I873" s="68"/>
      <c r="J873" s="68"/>
      <c r="K873" s="68"/>
    </row>
    <row r="874" spans="1:11" ht="20.100000000000001" customHeight="1">
      <c r="A874" s="979"/>
      <c r="B874" s="979"/>
      <c r="C874" s="979"/>
      <c r="D874" s="979"/>
      <c r="E874" s="979"/>
      <c r="F874" s="979"/>
      <c r="G874" s="979"/>
      <c r="H874" s="979"/>
      <c r="I874" s="979"/>
      <c r="J874" s="979"/>
      <c r="K874" s="979"/>
    </row>
    <row r="875" spans="1:11" ht="45.75" customHeight="1">
      <c r="A875" s="1030" t="s">
        <v>1383</v>
      </c>
      <c r="B875" s="1030"/>
      <c r="C875" s="1030"/>
      <c r="D875" s="1030"/>
      <c r="E875" s="1030"/>
      <c r="F875" s="1030"/>
      <c r="G875" s="1030"/>
      <c r="H875" s="1030"/>
      <c r="I875" s="1030"/>
      <c r="J875" s="1030"/>
      <c r="K875" s="1030"/>
    </row>
    <row r="876" spans="1:11" s="902" customFormat="1" ht="97.5" customHeight="1">
      <c r="A876" s="1111" t="s">
        <v>37</v>
      </c>
      <c r="B876" s="1112"/>
      <c r="C876" s="983" t="s">
        <v>178</v>
      </c>
      <c r="D876" s="983" t="s">
        <v>179</v>
      </c>
      <c r="E876" s="983" t="s">
        <v>1521</v>
      </c>
      <c r="F876" s="983" t="s">
        <v>14</v>
      </c>
      <c r="G876" s="983" t="s">
        <v>1515</v>
      </c>
      <c r="H876" s="983" t="s">
        <v>16</v>
      </c>
      <c r="I876" s="1108" t="s">
        <v>1490</v>
      </c>
      <c r="J876" s="1108" t="s">
        <v>2506</v>
      </c>
      <c r="K876" s="983" t="s">
        <v>200</v>
      </c>
    </row>
    <row r="877" spans="1:11" s="900" customFormat="1" ht="97.5" customHeight="1">
      <c r="A877" s="1113"/>
      <c r="B877" s="1114"/>
      <c r="C877" s="984"/>
      <c r="D877" s="984"/>
      <c r="E877" s="984"/>
      <c r="F877" s="984"/>
      <c r="G877" s="984"/>
      <c r="H877" s="984"/>
      <c r="I877" s="1108"/>
      <c r="J877" s="1108"/>
      <c r="K877" s="984"/>
    </row>
    <row r="878" spans="1:11" s="900" customFormat="1" ht="97.5" customHeight="1">
      <c r="A878" s="1109" t="s">
        <v>2116</v>
      </c>
      <c r="B878" s="1110"/>
      <c r="C878" s="921"/>
      <c r="D878" s="921"/>
      <c r="E878" s="922"/>
      <c r="F878" s="923"/>
      <c r="G878" s="924"/>
      <c r="H878" s="924"/>
      <c r="I878" s="920">
        <f>I879+I888+I886</f>
        <v>40920</v>
      </c>
      <c r="J878" s="920">
        <f>J879+J888+J886</f>
        <v>27280</v>
      </c>
      <c r="K878" s="920">
        <f>I878+J878</f>
        <v>68200</v>
      </c>
    </row>
    <row r="879" spans="1:11" s="902" customFormat="1" ht="97.5" customHeight="1">
      <c r="A879" s="1070" t="s">
        <v>1541</v>
      </c>
      <c r="B879" s="1071"/>
      <c r="C879" s="925"/>
      <c r="D879" s="925"/>
      <c r="E879" s="925"/>
      <c r="F879" s="931"/>
      <c r="G879" s="925"/>
      <c r="H879" s="926"/>
      <c r="I879" s="871">
        <f>SUM(I880:I885)</f>
        <v>32050.799999999999</v>
      </c>
      <c r="J879" s="871">
        <f>SUM(J880:J885)</f>
        <v>21367.200000000001</v>
      </c>
      <c r="K879" s="871">
        <f>I879+J879</f>
        <v>53418</v>
      </c>
    </row>
    <row r="880" spans="1:11" s="901" customFormat="1" ht="116.25" customHeight="1">
      <c r="A880" s="1068" t="s">
        <v>2117</v>
      </c>
      <c r="B880" s="1069"/>
      <c r="C880" s="928" t="s">
        <v>2126</v>
      </c>
      <c r="D880" s="928">
        <v>2</v>
      </c>
      <c r="E880" s="928" t="s">
        <v>2132</v>
      </c>
      <c r="F880" s="1044" t="s">
        <v>2229</v>
      </c>
      <c r="G880" s="1072">
        <v>8100</v>
      </c>
      <c r="H880" s="1075" t="s">
        <v>2273</v>
      </c>
      <c r="I880" s="873">
        <f t="shared" ref="I880:I885" si="31">K880/100*60</f>
        <v>6000</v>
      </c>
      <c r="J880" s="873">
        <f t="shared" ref="J880:J885" si="32">K880/100*40</f>
        <v>4000</v>
      </c>
      <c r="K880" s="873">
        <v>10000</v>
      </c>
    </row>
    <row r="881" spans="1:11" s="901" customFormat="1" ht="116.25" customHeight="1">
      <c r="A881" s="1068" t="s">
        <v>2118</v>
      </c>
      <c r="B881" s="1069"/>
      <c r="C881" s="928" t="s">
        <v>2127</v>
      </c>
      <c r="D881" s="928">
        <v>40</v>
      </c>
      <c r="E881" s="928" t="s">
        <v>2133</v>
      </c>
      <c r="F881" s="1045"/>
      <c r="G881" s="1073"/>
      <c r="H881" s="1076"/>
      <c r="I881" s="873">
        <f t="shared" si="31"/>
        <v>6000</v>
      </c>
      <c r="J881" s="873">
        <f t="shared" si="32"/>
        <v>4000</v>
      </c>
      <c r="K881" s="873">
        <v>10000</v>
      </c>
    </row>
    <row r="882" spans="1:11" s="901" customFormat="1" ht="116.25" customHeight="1">
      <c r="A882" s="1068" t="s">
        <v>2119</v>
      </c>
      <c r="B882" s="1069"/>
      <c r="C882" s="928" t="s">
        <v>2128</v>
      </c>
      <c r="D882" s="928">
        <v>60</v>
      </c>
      <c r="E882" s="928" t="s">
        <v>2132</v>
      </c>
      <c r="F882" s="840" t="s">
        <v>2230</v>
      </c>
      <c r="G882" s="1073"/>
      <c r="H882" s="1076"/>
      <c r="I882" s="873">
        <f t="shared" si="31"/>
        <v>8050.8</v>
      </c>
      <c r="J882" s="873">
        <f t="shared" si="32"/>
        <v>5367.2000000000007</v>
      </c>
      <c r="K882" s="873">
        <v>13418</v>
      </c>
    </row>
    <row r="883" spans="1:11" s="901" customFormat="1" ht="116.25" customHeight="1">
      <c r="A883" s="1068" t="s">
        <v>2120</v>
      </c>
      <c r="B883" s="1069"/>
      <c r="C883" s="928" t="s">
        <v>1934</v>
      </c>
      <c r="D883" s="928">
        <v>10</v>
      </c>
      <c r="E883" s="928" t="s">
        <v>2134</v>
      </c>
      <c r="F883" s="1044" t="s">
        <v>2231</v>
      </c>
      <c r="G883" s="1073"/>
      <c r="H883" s="1076"/>
      <c r="I883" s="873">
        <f t="shared" si="31"/>
        <v>6000</v>
      </c>
      <c r="J883" s="873">
        <f t="shared" si="32"/>
        <v>4000</v>
      </c>
      <c r="K883" s="873">
        <v>10000</v>
      </c>
    </row>
    <row r="884" spans="1:11" s="901" customFormat="1" ht="116.25" customHeight="1">
      <c r="A884" s="1068" t="s">
        <v>2121</v>
      </c>
      <c r="B884" s="1069"/>
      <c r="C884" s="928" t="s">
        <v>2129</v>
      </c>
      <c r="D884" s="928">
        <v>5</v>
      </c>
      <c r="E884" s="928" t="s">
        <v>2132</v>
      </c>
      <c r="F884" s="1045"/>
      <c r="G884" s="1073"/>
      <c r="H884" s="1076"/>
      <c r="I884" s="873">
        <f t="shared" si="31"/>
        <v>3000</v>
      </c>
      <c r="J884" s="873">
        <f t="shared" si="32"/>
        <v>2000</v>
      </c>
      <c r="K884" s="873">
        <v>5000</v>
      </c>
    </row>
    <row r="885" spans="1:11" s="901" customFormat="1" ht="116.25" customHeight="1">
      <c r="A885" s="1068" t="s">
        <v>2122</v>
      </c>
      <c r="B885" s="1069"/>
      <c r="C885" s="928" t="s">
        <v>2130</v>
      </c>
      <c r="D885" s="928">
        <v>10</v>
      </c>
      <c r="E885" s="928" t="s">
        <v>2134</v>
      </c>
      <c r="F885" s="1046"/>
      <c r="G885" s="1074"/>
      <c r="H885" s="1077"/>
      <c r="I885" s="873">
        <f t="shared" si="31"/>
        <v>3000</v>
      </c>
      <c r="J885" s="873">
        <f t="shared" si="32"/>
        <v>2000</v>
      </c>
      <c r="K885" s="873">
        <v>5000</v>
      </c>
    </row>
    <row r="886" spans="1:11" s="902" customFormat="1" ht="97.5" customHeight="1">
      <c r="A886" s="1070" t="s">
        <v>278</v>
      </c>
      <c r="B886" s="1071"/>
      <c r="C886" s="925"/>
      <c r="D886" s="925"/>
      <c r="E886" s="925"/>
      <c r="F886" s="931"/>
      <c r="G886" s="925"/>
      <c r="H886" s="926"/>
      <c r="I886" s="871">
        <f>SUM(I887)</f>
        <v>2869.2</v>
      </c>
      <c r="J886" s="871">
        <f>SUM(J887)</f>
        <v>1912.8</v>
      </c>
      <c r="K886" s="871">
        <f>I886+J886</f>
        <v>4782</v>
      </c>
    </row>
    <row r="887" spans="1:11" s="901" customFormat="1" ht="116.25" customHeight="1">
      <c r="A887" s="1068" t="s">
        <v>2528</v>
      </c>
      <c r="B887" s="1069"/>
      <c r="C887" s="928" t="s">
        <v>1215</v>
      </c>
      <c r="D887" s="928">
        <v>8</v>
      </c>
      <c r="E887" s="945" t="s">
        <v>2125</v>
      </c>
      <c r="F887" s="842" t="s">
        <v>2234</v>
      </c>
      <c r="G887" s="929">
        <v>8100</v>
      </c>
      <c r="H887" s="932" t="s">
        <v>2445</v>
      </c>
      <c r="I887" s="873">
        <f>K887/100*60</f>
        <v>2869.2</v>
      </c>
      <c r="J887" s="873">
        <f>K887/100*40</f>
        <v>1912.8</v>
      </c>
      <c r="K887" s="873">
        <v>4782</v>
      </c>
    </row>
    <row r="888" spans="1:11" s="902" customFormat="1" ht="97.5" customHeight="1">
      <c r="A888" s="1070" t="s">
        <v>312</v>
      </c>
      <c r="B888" s="1071"/>
      <c r="C888" s="925"/>
      <c r="D888" s="925"/>
      <c r="E888" s="925"/>
      <c r="F888" s="931"/>
      <c r="G888" s="925"/>
      <c r="H888" s="926"/>
      <c r="I888" s="871">
        <f>SUM(I889:I890)</f>
        <v>6000</v>
      </c>
      <c r="J888" s="871">
        <f>SUM(J889:J890)</f>
        <v>4000</v>
      </c>
      <c r="K888" s="871">
        <f>I888+J888</f>
        <v>10000</v>
      </c>
    </row>
    <row r="889" spans="1:11" s="901" customFormat="1" ht="116.25" customHeight="1">
      <c r="A889" s="1068" t="s">
        <v>2123</v>
      </c>
      <c r="B889" s="1069"/>
      <c r="C889" s="928" t="s">
        <v>2131</v>
      </c>
      <c r="D889" s="928">
        <v>3</v>
      </c>
      <c r="E889" s="928" t="s">
        <v>2135</v>
      </c>
      <c r="F889" s="1044" t="s">
        <v>2224</v>
      </c>
      <c r="G889" s="1072">
        <v>8100</v>
      </c>
      <c r="H889" s="1075" t="s">
        <v>2273</v>
      </c>
      <c r="I889" s="873">
        <f>K889/100*60</f>
        <v>3000</v>
      </c>
      <c r="J889" s="873">
        <f>K889/100*40</f>
        <v>2000</v>
      </c>
      <c r="K889" s="873">
        <v>5000</v>
      </c>
    </row>
    <row r="890" spans="1:11" s="901" customFormat="1" ht="116.25" customHeight="1">
      <c r="A890" s="1068" t="s">
        <v>2124</v>
      </c>
      <c r="B890" s="1069"/>
      <c r="C890" s="928" t="s">
        <v>2131</v>
      </c>
      <c r="D890" s="928">
        <v>3</v>
      </c>
      <c r="E890" s="928" t="s">
        <v>2136</v>
      </c>
      <c r="F890" s="1046"/>
      <c r="G890" s="1074"/>
      <c r="H890" s="1077"/>
      <c r="I890" s="873">
        <f>K890/100*60</f>
        <v>3000</v>
      </c>
      <c r="J890" s="873">
        <f>K890/100*40</f>
        <v>2000</v>
      </c>
      <c r="K890" s="873">
        <v>5000</v>
      </c>
    </row>
    <row r="891" spans="1:11" s="951" customFormat="1" ht="97.5" customHeight="1">
      <c r="A891" s="1125"/>
      <c r="B891" s="1126"/>
      <c r="C891" s="947"/>
      <c r="D891" s="947"/>
      <c r="E891" s="948"/>
      <c r="F891" s="949"/>
      <c r="G891" s="950"/>
      <c r="H891" s="950"/>
      <c r="I891" s="742"/>
      <c r="J891" s="742"/>
      <c r="K891" s="742"/>
    </row>
    <row r="892" spans="1:11" s="902" customFormat="1" ht="97.5" customHeight="1">
      <c r="A892" s="1111" t="s">
        <v>37</v>
      </c>
      <c r="B892" s="1112"/>
      <c r="C892" s="983" t="s">
        <v>178</v>
      </c>
      <c r="D892" s="983" t="s">
        <v>179</v>
      </c>
      <c r="E892" s="983" t="s">
        <v>1521</v>
      </c>
      <c r="F892" s="983" t="s">
        <v>14</v>
      </c>
      <c r="G892" s="983" t="s">
        <v>1515</v>
      </c>
      <c r="H892" s="983" t="s">
        <v>16</v>
      </c>
      <c r="I892" s="1108" t="s">
        <v>1490</v>
      </c>
      <c r="J892" s="1108" t="s">
        <v>2506</v>
      </c>
      <c r="K892" s="983" t="s">
        <v>200</v>
      </c>
    </row>
    <row r="893" spans="1:11" s="900" customFormat="1" ht="97.5" customHeight="1">
      <c r="A893" s="1113"/>
      <c r="B893" s="1114"/>
      <c r="C893" s="984"/>
      <c r="D893" s="984"/>
      <c r="E893" s="984"/>
      <c r="F893" s="984"/>
      <c r="G893" s="984"/>
      <c r="H893" s="984"/>
      <c r="I893" s="1108"/>
      <c r="J893" s="1108"/>
      <c r="K893" s="984"/>
    </row>
    <row r="894" spans="1:11" s="900" customFormat="1" ht="97.5" customHeight="1">
      <c r="A894" s="1109" t="s">
        <v>2191</v>
      </c>
      <c r="B894" s="1110"/>
      <c r="C894" s="921"/>
      <c r="D894" s="921"/>
      <c r="E894" s="922"/>
      <c r="F894" s="923"/>
      <c r="G894" s="924"/>
      <c r="H894" s="924"/>
      <c r="I894" s="920">
        <f>I895+I902+I900</f>
        <v>135962.4</v>
      </c>
      <c r="J894" s="920">
        <f>J895+J902+J900</f>
        <v>90641.600000000006</v>
      </c>
      <c r="K894" s="920">
        <f>I894+J894</f>
        <v>226604</v>
      </c>
    </row>
    <row r="895" spans="1:11" s="902" customFormat="1" ht="97.5" customHeight="1">
      <c r="A895" s="1070" t="s">
        <v>1541</v>
      </c>
      <c r="B895" s="1071"/>
      <c r="C895" s="925"/>
      <c r="D895" s="925"/>
      <c r="E895" s="925"/>
      <c r="F895" s="931"/>
      <c r="G895" s="925"/>
      <c r="H895" s="926"/>
      <c r="I895" s="871">
        <f>SUM(I896:I899)</f>
        <v>110462.39999999999</v>
      </c>
      <c r="J895" s="871">
        <f>SUM(J896:J899)</f>
        <v>73641.600000000006</v>
      </c>
      <c r="K895" s="871">
        <f>I895+J895</f>
        <v>184104</v>
      </c>
    </row>
    <row r="896" spans="1:11" s="901" customFormat="1" ht="116.25" customHeight="1">
      <c r="A896" s="1068" t="s">
        <v>2193</v>
      </c>
      <c r="B896" s="1069"/>
      <c r="C896" s="928" t="s">
        <v>1544</v>
      </c>
      <c r="D896" s="928"/>
      <c r="E896" s="928" t="s">
        <v>1544</v>
      </c>
      <c r="F896" s="840" t="s">
        <v>2229</v>
      </c>
      <c r="G896" s="1072">
        <v>8100</v>
      </c>
      <c r="H896" s="1075" t="s">
        <v>2273</v>
      </c>
      <c r="I896" s="873">
        <f>K896/100*60</f>
        <v>88262.399999999994</v>
      </c>
      <c r="J896" s="873">
        <f>K896/100*40</f>
        <v>58841.599999999999</v>
      </c>
      <c r="K896" s="873">
        <v>147104</v>
      </c>
    </row>
    <row r="897" spans="1:11" s="901" customFormat="1" ht="116.25" customHeight="1">
      <c r="A897" s="1068" t="s">
        <v>2192</v>
      </c>
      <c r="B897" s="1069"/>
      <c r="C897" s="928" t="s">
        <v>147</v>
      </c>
      <c r="D897" s="928">
        <v>1</v>
      </c>
      <c r="E897" s="928" t="s">
        <v>2198</v>
      </c>
      <c r="F897" s="842" t="s">
        <v>2236</v>
      </c>
      <c r="G897" s="1073"/>
      <c r="H897" s="1076"/>
      <c r="I897" s="873">
        <f>K897/100*60</f>
        <v>9000</v>
      </c>
      <c r="J897" s="873">
        <f>K897/100*40</f>
        <v>6000</v>
      </c>
      <c r="K897" s="873">
        <v>15000</v>
      </c>
    </row>
    <row r="898" spans="1:11" s="901" customFormat="1" ht="116.25" customHeight="1">
      <c r="A898" s="1068" t="s">
        <v>2194</v>
      </c>
      <c r="B898" s="1069"/>
      <c r="C898" s="928" t="s">
        <v>1934</v>
      </c>
      <c r="D898" s="928">
        <v>35</v>
      </c>
      <c r="E898" s="928" t="s">
        <v>2199</v>
      </c>
      <c r="F898" s="1044" t="s">
        <v>2231</v>
      </c>
      <c r="G898" s="1073"/>
      <c r="H898" s="1076"/>
      <c r="I898" s="873">
        <f>K898/100*60</f>
        <v>10200</v>
      </c>
      <c r="J898" s="873">
        <f>K898/100*40</f>
        <v>6800</v>
      </c>
      <c r="K898" s="873">
        <v>17000</v>
      </c>
    </row>
    <row r="899" spans="1:11" s="901" customFormat="1" ht="116.25" customHeight="1">
      <c r="A899" s="1068" t="s">
        <v>2195</v>
      </c>
      <c r="B899" s="1069"/>
      <c r="C899" s="928" t="s">
        <v>2200</v>
      </c>
      <c r="D899" s="928">
        <v>22</v>
      </c>
      <c r="E899" s="928" t="s">
        <v>2199</v>
      </c>
      <c r="F899" s="1046"/>
      <c r="G899" s="1073"/>
      <c r="H899" s="1076"/>
      <c r="I899" s="873">
        <f>K899/100*60</f>
        <v>3000</v>
      </c>
      <c r="J899" s="873">
        <f>K899/100*40</f>
        <v>2000</v>
      </c>
      <c r="K899" s="873">
        <v>5000</v>
      </c>
    </row>
    <row r="900" spans="1:11" s="902" customFormat="1" ht="97.5" customHeight="1">
      <c r="A900" s="1070" t="s">
        <v>278</v>
      </c>
      <c r="B900" s="1071"/>
      <c r="C900" s="925"/>
      <c r="D900" s="925"/>
      <c r="E900" s="925"/>
      <c r="F900" s="931"/>
      <c r="G900" s="925"/>
      <c r="H900" s="926"/>
      <c r="I900" s="871">
        <f>SUM(I901)</f>
        <v>12000</v>
      </c>
      <c r="J900" s="871">
        <f>SUM(J901)</f>
        <v>8000</v>
      </c>
      <c r="K900" s="871">
        <f>I900+J900</f>
        <v>20000</v>
      </c>
    </row>
    <row r="901" spans="1:11" s="901" customFormat="1" ht="116.25" customHeight="1">
      <c r="A901" s="1068" t="s">
        <v>2524</v>
      </c>
      <c r="B901" s="1069"/>
      <c r="C901" s="928" t="s">
        <v>1215</v>
      </c>
      <c r="D901" s="928">
        <v>5</v>
      </c>
      <c r="E901" s="945" t="s">
        <v>2201</v>
      </c>
      <c r="F901" s="842" t="s">
        <v>2234</v>
      </c>
      <c r="G901" s="929">
        <v>8100</v>
      </c>
      <c r="H901" s="932" t="s">
        <v>2445</v>
      </c>
      <c r="I901" s="873">
        <f>K901/100*60</f>
        <v>12000</v>
      </c>
      <c r="J901" s="873">
        <f>K901/100*40</f>
        <v>8000</v>
      </c>
      <c r="K901" s="873">
        <v>20000</v>
      </c>
    </row>
    <row r="902" spans="1:11" s="902" customFormat="1" ht="97.5" customHeight="1">
      <c r="A902" s="1070" t="s">
        <v>312</v>
      </c>
      <c r="B902" s="1071"/>
      <c r="C902" s="925"/>
      <c r="D902" s="925"/>
      <c r="E902" s="925"/>
      <c r="F902" s="931"/>
      <c r="G902" s="925"/>
      <c r="H902" s="926"/>
      <c r="I902" s="871">
        <f>SUM(I903:I904)</f>
        <v>13500</v>
      </c>
      <c r="J902" s="871">
        <f>SUM(J903:J904)</f>
        <v>9000</v>
      </c>
      <c r="K902" s="871">
        <f>I902+J902</f>
        <v>22500</v>
      </c>
    </row>
    <row r="903" spans="1:11" s="901" customFormat="1" ht="116.25" customHeight="1">
      <c r="A903" s="1068" t="s">
        <v>2197</v>
      </c>
      <c r="B903" s="1069"/>
      <c r="C903" s="928" t="s">
        <v>1544</v>
      </c>
      <c r="D903" s="928"/>
      <c r="E903" s="928" t="s">
        <v>1544</v>
      </c>
      <c r="F903" s="1044" t="s">
        <v>2224</v>
      </c>
      <c r="G903" s="1072">
        <v>8100</v>
      </c>
      <c r="H903" s="1075" t="s">
        <v>2273</v>
      </c>
      <c r="I903" s="873">
        <f>K903/100*60</f>
        <v>10500</v>
      </c>
      <c r="J903" s="873">
        <f>K903/100*40</f>
        <v>7000</v>
      </c>
      <c r="K903" s="873">
        <v>17500</v>
      </c>
    </row>
    <row r="904" spans="1:11" s="901" customFormat="1" ht="116.25" customHeight="1">
      <c r="A904" s="1068" t="s">
        <v>2196</v>
      </c>
      <c r="B904" s="1069"/>
      <c r="C904" s="928" t="s">
        <v>2202</v>
      </c>
      <c r="D904" s="928">
        <v>10</v>
      </c>
      <c r="E904" s="928" t="s">
        <v>2199</v>
      </c>
      <c r="F904" s="1046"/>
      <c r="G904" s="1074"/>
      <c r="H904" s="1077"/>
      <c r="I904" s="873">
        <f>K904/100*60</f>
        <v>3000</v>
      </c>
      <c r="J904" s="873">
        <f>K904/100*40</f>
        <v>2000</v>
      </c>
      <c r="K904" s="873">
        <v>5000</v>
      </c>
    </row>
    <row r="905" spans="1:11" s="902" customFormat="1" ht="82.5" customHeight="1">
      <c r="A905" s="1066" t="s">
        <v>2455</v>
      </c>
      <c r="B905" s="1066"/>
      <c r="C905" s="1066"/>
      <c r="D905" s="1066"/>
      <c r="E905" s="1066"/>
      <c r="F905" s="1066"/>
      <c r="G905" s="1066"/>
      <c r="H905" s="1066"/>
      <c r="I905" s="1066"/>
      <c r="J905" s="1066"/>
      <c r="K905" s="1066"/>
    </row>
    <row r="906" spans="1:11" ht="102" customHeight="1">
      <c r="A906" s="753"/>
      <c r="B906" s="753"/>
      <c r="C906" s="753"/>
      <c r="D906" s="753"/>
      <c r="E906" s="753"/>
      <c r="F906" s="753"/>
      <c r="G906" s="753"/>
      <c r="H906" s="753"/>
      <c r="I906" s="753"/>
      <c r="J906" s="753"/>
      <c r="K906" s="753"/>
    </row>
    <row r="907" spans="1:11" ht="45">
      <c r="A907" s="979" t="s">
        <v>2493</v>
      </c>
      <c r="B907" s="979"/>
      <c r="C907" s="979"/>
      <c r="D907" s="979"/>
      <c r="E907" s="979"/>
      <c r="F907" s="979"/>
      <c r="G907" s="979"/>
      <c r="H907" s="979"/>
      <c r="I907" s="979"/>
      <c r="J907" s="979"/>
      <c r="K907" s="979"/>
    </row>
    <row r="908" spans="1:11" ht="45">
      <c r="A908" s="979" t="s">
        <v>52</v>
      </c>
      <c r="B908" s="979"/>
      <c r="C908" s="979"/>
      <c r="D908" s="979"/>
      <c r="E908" s="979"/>
      <c r="F908" s="979"/>
      <c r="G908" s="979"/>
      <c r="H908" s="979"/>
      <c r="I908" s="979"/>
      <c r="J908" s="979"/>
      <c r="K908" s="979"/>
    </row>
    <row r="909" spans="1:11" ht="45">
      <c r="A909" s="1040" t="s">
        <v>50</v>
      </c>
      <c r="B909" s="1040"/>
      <c r="C909" s="1040"/>
      <c r="D909" s="1040"/>
      <c r="E909" s="1040"/>
      <c r="F909" s="1040"/>
      <c r="G909" s="1040"/>
      <c r="H909" s="1040"/>
      <c r="I909" s="1040"/>
      <c r="J909" s="1040"/>
      <c r="K909" s="1040"/>
    </row>
    <row r="910" spans="1:11" ht="44.25">
      <c r="A910" s="736"/>
      <c r="B910" s="736"/>
      <c r="C910" s="736"/>
      <c r="D910" s="736"/>
      <c r="E910" s="736"/>
      <c r="F910" s="736"/>
      <c r="G910" s="838"/>
      <c r="H910" s="838"/>
      <c r="I910" s="838"/>
      <c r="J910" s="838"/>
      <c r="K910" s="838"/>
    </row>
    <row r="911" spans="1:11" ht="45">
      <c r="A911" s="979" t="s">
        <v>1489</v>
      </c>
      <c r="B911" s="979"/>
      <c r="C911" s="979"/>
      <c r="D911" s="979"/>
      <c r="E911" s="979"/>
      <c r="F911" s="979"/>
      <c r="G911" s="979"/>
      <c r="H911" s="979"/>
      <c r="I911" s="979"/>
      <c r="J911" s="979"/>
      <c r="K911" s="979"/>
    </row>
    <row r="912" spans="1:11" s="620" customFormat="1" ht="33">
      <c r="A912" s="65"/>
      <c r="B912" s="65"/>
      <c r="C912" s="65"/>
      <c r="D912" s="65"/>
      <c r="E912" s="65"/>
      <c r="F912" s="65"/>
      <c r="G912" s="68"/>
      <c r="H912" s="68"/>
      <c r="I912" s="68"/>
      <c r="J912" s="68"/>
      <c r="K912" s="68"/>
    </row>
    <row r="913" spans="1:11" ht="20.100000000000001" customHeight="1">
      <c r="A913" s="65"/>
      <c r="B913" s="65"/>
      <c r="C913" s="65"/>
      <c r="D913" s="65"/>
      <c r="E913" s="65"/>
      <c r="F913" s="65"/>
      <c r="G913" s="68"/>
      <c r="H913" s="68"/>
      <c r="I913" s="68"/>
      <c r="J913" s="68"/>
      <c r="K913" s="68"/>
    </row>
    <row r="914" spans="1:11" ht="20.100000000000001" customHeight="1">
      <c r="A914" s="979"/>
      <c r="B914" s="979"/>
      <c r="C914" s="979"/>
      <c r="D914" s="979"/>
      <c r="E914" s="979"/>
      <c r="F914" s="979"/>
      <c r="G914" s="979"/>
      <c r="H914" s="979"/>
      <c r="I914" s="979"/>
      <c r="J914" s="979"/>
      <c r="K914" s="979"/>
    </row>
    <row r="915" spans="1:11" ht="45.75" customHeight="1">
      <c r="A915" s="1030" t="s">
        <v>1383</v>
      </c>
      <c r="B915" s="1030"/>
      <c r="C915" s="1030"/>
      <c r="D915" s="1030"/>
      <c r="E915" s="1030"/>
      <c r="F915" s="1030"/>
      <c r="G915" s="1030"/>
      <c r="H915" s="1030"/>
      <c r="I915" s="1030"/>
      <c r="J915" s="1030"/>
      <c r="K915" s="1030"/>
    </row>
    <row r="916" spans="1:11" s="902" customFormat="1" ht="98.25" customHeight="1">
      <c r="A916" s="1111" t="s">
        <v>37</v>
      </c>
      <c r="B916" s="1112"/>
      <c r="C916" s="983" t="s">
        <v>178</v>
      </c>
      <c r="D916" s="983" t="s">
        <v>179</v>
      </c>
      <c r="E916" s="983" t="s">
        <v>1521</v>
      </c>
      <c r="F916" s="983" t="s">
        <v>14</v>
      </c>
      <c r="G916" s="983" t="s">
        <v>1515</v>
      </c>
      <c r="H916" s="983" t="s">
        <v>16</v>
      </c>
      <c r="I916" s="1108" t="s">
        <v>1490</v>
      </c>
      <c r="J916" s="1108" t="s">
        <v>2506</v>
      </c>
      <c r="K916" s="983" t="s">
        <v>200</v>
      </c>
    </row>
    <row r="917" spans="1:11" s="900" customFormat="1" ht="98.25" customHeight="1">
      <c r="A917" s="1113"/>
      <c r="B917" s="1114"/>
      <c r="C917" s="984"/>
      <c r="D917" s="984"/>
      <c r="E917" s="984"/>
      <c r="F917" s="984"/>
      <c r="G917" s="984"/>
      <c r="H917" s="984"/>
      <c r="I917" s="1108"/>
      <c r="J917" s="1108"/>
      <c r="K917" s="984"/>
    </row>
    <row r="918" spans="1:11" s="900" customFormat="1" ht="98.25" customHeight="1">
      <c r="A918" s="1109" t="s">
        <v>2156</v>
      </c>
      <c r="B918" s="1110"/>
      <c r="C918" s="921"/>
      <c r="D918" s="921"/>
      <c r="E918" s="922"/>
      <c r="F918" s="923"/>
      <c r="G918" s="924"/>
      <c r="H918" s="924"/>
      <c r="I918" s="920">
        <f>I919+I928+I926</f>
        <v>44463</v>
      </c>
      <c r="J918" s="920">
        <f>J919+J928+J926</f>
        <v>29642</v>
      </c>
      <c r="K918" s="920">
        <f>I918+J918</f>
        <v>74105</v>
      </c>
    </row>
    <row r="919" spans="1:11" s="902" customFormat="1" ht="98.25" customHeight="1">
      <c r="A919" s="1070" t="s">
        <v>1541</v>
      </c>
      <c r="B919" s="1071"/>
      <c r="C919" s="925"/>
      <c r="D919" s="925"/>
      <c r="E919" s="925"/>
      <c r="F919" s="931"/>
      <c r="G919" s="925"/>
      <c r="H919" s="926"/>
      <c r="I919" s="871">
        <f>SUM(I920:I925)</f>
        <v>32463</v>
      </c>
      <c r="J919" s="871">
        <f>SUM(J920:J925)</f>
        <v>21642</v>
      </c>
      <c r="K919" s="871">
        <f>I919+J919</f>
        <v>54105</v>
      </c>
    </row>
    <row r="920" spans="1:11" s="901" customFormat="1" ht="98.25" customHeight="1">
      <c r="A920" s="1068" t="s">
        <v>2157</v>
      </c>
      <c r="B920" s="1069"/>
      <c r="C920" s="928" t="s">
        <v>2163</v>
      </c>
      <c r="D920" s="928">
        <v>2</v>
      </c>
      <c r="E920" s="928" t="s">
        <v>2167</v>
      </c>
      <c r="F920" s="1044" t="s">
        <v>2229</v>
      </c>
      <c r="G920" s="1072">
        <v>8100</v>
      </c>
      <c r="H920" s="1075" t="s">
        <v>2273</v>
      </c>
      <c r="I920" s="873">
        <f t="shared" ref="I920:I925" si="33">K920/100*60</f>
        <v>2400</v>
      </c>
      <c r="J920" s="873">
        <f t="shared" ref="J920:J925" si="34">K920/100*40</f>
        <v>1600</v>
      </c>
      <c r="K920" s="873">
        <v>4000</v>
      </c>
    </row>
    <row r="921" spans="1:11" s="901" customFormat="1" ht="98.25" customHeight="1">
      <c r="A921" s="1068" t="s">
        <v>2159</v>
      </c>
      <c r="B921" s="1069"/>
      <c r="C921" s="928" t="s">
        <v>2164</v>
      </c>
      <c r="D921" s="928">
        <v>6</v>
      </c>
      <c r="E921" s="928" t="s">
        <v>2168</v>
      </c>
      <c r="F921" s="1045"/>
      <c r="G921" s="1073"/>
      <c r="H921" s="1076"/>
      <c r="I921" s="873">
        <f t="shared" si="33"/>
        <v>2463</v>
      </c>
      <c r="J921" s="873">
        <f t="shared" si="34"/>
        <v>1642</v>
      </c>
      <c r="K921" s="873">
        <v>4105</v>
      </c>
    </row>
    <row r="922" spans="1:11" s="901" customFormat="1" ht="98.25" customHeight="1">
      <c r="A922" s="1068" t="s">
        <v>1606</v>
      </c>
      <c r="B922" s="1069"/>
      <c r="C922" s="928" t="s">
        <v>1801</v>
      </c>
      <c r="D922" s="928">
        <v>100</v>
      </c>
      <c r="E922" s="928" t="s">
        <v>2169</v>
      </c>
      <c r="F922" s="1044" t="s">
        <v>2236</v>
      </c>
      <c r="G922" s="1073"/>
      <c r="H922" s="1076"/>
      <c r="I922" s="873">
        <f t="shared" si="33"/>
        <v>12000</v>
      </c>
      <c r="J922" s="873">
        <f t="shared" si="34"/>
        <v>8000</v>
      </c>
      <c r="K922" s="873">
        <v>20000</v>
      </c>
    </row>
    <row r="923" spans="1:11" s="901" customFormat="1" ht="98.25" customHeight="1">
      <c r="A923" s="1068" t="s">
        <v>2158</v>
      </c>
      <c r="B923" s="1069"/>
      <c r="C923" s="928" t="s">
        <v>2165</v>
      </c>
      <c r="D923" s="928">
        <v>618</v>
      </c>
      <c r="E923" s="928" t="s">
        <v>2170</v>
      </c>
      <c r="F923" s="1046"/>
      <c r="G923" s="1073"/>
      <c r="H923" s="1076"/>
      <c r="I923" s="873">
        <f t="shared" si="33"/>
        <v>3600</v>
      </c>
      <c r="J923" s="873">
        <f t="shared" si="34"/>
        <v>2400</v>
      </c>
      <c r="K923" s="873">
        <v>6000</v>
      </c>
    </row>
    <row r="924" spans="1:11" s="901" customFormat="1" ht="98.25" customHeight="1">
      <c r="A924" s="1068" t="s">
        <v>1840</v>
      </c>
      <c r="B924" s="1069"/>
      <c r="C924" s="928" t="s">
        <v>2166</v>
      </c>
      <c r="D924" s="928">
        <v>6</v>
      </c>
      <c r="E924" s="928" t="s">
        <v>1997</v>
      </c>
      <c r="F924" s="1044" t="s">
        <v>2231</v>
      </c>
      <c r="G924" s="1073"/>
      <c r="H924" s="1076"/>
      <c r="I924" s="873">
        <f t="shared" si="33"/>
        <v>2400</v>
      </c>
      <c r="J924" s="873">
        <f t="shared" si="34"/>
        <v>1600</v>
      </c>
      <c r="K924" s="873">
        <v>4000</v>
      </c>
    </row>
    <row r="925" spans="1:11" s="901" customFormat="1" ht="98.25" customHeight="1">
      <c r="A925" s="1068" t="s">
        <v>2160</v>
      </c>
      <c r="B925" s="1069"/>
      <c r="C925" s="928" t="s">
        <v>1934</v>
      </c>
      <c r="D925" s="928">
        <v>38</v>
      </c>
      <c r="E925" s="928" t="s">
        <v>1997</v>
      </c>
      <c r="F925" s="1046"/>
      <c r="G925" s="1074"/>
      <c r="H925" s="1077"/>
      <c r="I925" s="873">
        <f t="shared" si="33"/>
        <v>9600</v>
      </c>
      <c r="J925" s="873">
        <f t="shared" si="34"/>
        <v>6400</v>
      </c>
      <c r="K925" s="873">
        <v>16000</v>
      </c>
    </row>
    <row r="926" spans="1:11" s="902" customFormat="1" ht="98.25" customHeight="1">
      <c r="A926" s="1070" t="s">
        <v>278</v>
      </c>
      <c r="B926" s="1071"/>
      <c r="C926" s="925"/>
      <c r="D926" s="925"/>
      <c r="E926" s="925"/>
      <c r="F926" s="931"/>
      <c r="G926" s="925"/>
      <c r="H926" s="926"/>
      <c r="I926" s="871">
        <f>SUM(I927)</f>
        <v>6000</v>
      </c>
      <c r="J926" s="871">
        <f>SUM(J927)</f>
        <v>4000</v>
      </c>
      <c r="K926" s="871">
        <f>I926+J926</f>
        <v>10000</v>
      </c>
    </row>
    <row r="927" spans="1:11" s="901" customFormat="1" ht="98.25" customHeight="1">
      <c r="A927" s="1068" t="s">
        <v>2529</v>
      </c>
      <c r="B927" s="1069"/>
      <c r="C927" s="928" t="s">
        <v>1215</v>
      </c>
      <c r="D927" s="928">
        <v>10</v>
      </c>
      <c r="E927" s="945" t="s">
        <v>2171</v>
      </c>
      <c r="F927" s="842" t="s">
        <v>2234</v>
      </c>
      <c r="G927" s="929">
        <v>8100</v>
      </c>
      <c r="H927" s="932" t="s">
        <v>2445</v>
      </c>
      <c r="I927" s="873">
        <f>K927/100*60</f>
        <v>6000</v>
      </c>
      <c r="J927" s="873">
        <f>K927/100*40</f>
        <v>4000</v>
      </c>
      <c r="K927" s="873">
        <v>10000</v>
      </c>
    </row>
    <row r="928" spans="1:11" s="902" customFormat="1" ht="98.25" customHeight="1">
      <c r="A928" s="1070" t="s">
        <v>312</v>
      </c>
      <c r="B928" s="1071"/>
      <c r="C928" s="925"/>
      <c r="D928" s="925"/>
      <c r="E928" s="925"/>
      <c r="F928" s="931"/>
      <c r="G928" s="925"/>
      <c r="H928" s="926"/>
      <c r="I928" s="871">
        <f>SUM(I929:I930)</f>
        <v>6000</v>
      </c>
      <c r="J928" s="871">
        <f>SUM(J929:J930)</f>
        <v>4000</v>
      </c>
      <c r="K928" s="871">
        <f>I928+J928</f>
        <v>10000</v>
      </c>
    </row>
    <row r="929" spans="1:11" s="901" customFormat="1" ht="98.25" customHeight="1">
      <c r="A929" s="1068" t="s">
        <v>2161</v>
      </c>
      <c r="B929" s="1069"/>
      <c r="C929" s="928" t="s">
        <v>1801</v>
      </c>
      <c r="D929" s="928">
        <v>5</v>
      </c>
      <c r="E929" s="928" t="s">
        <v>2172</v>
      </c>
      <c r="F929" s="1044" t="s">
        <v>2224</v>
      </c>
      <c r="G929" s="1072">
        <v>8100</v>
      </c>
      <c r="H929" s="1075" t="s">
        <v>2273</v>
      </c>
      <c r="I929" s="873">
        <f>K929/100*60</f>
        <v>3600</v>
      </c>
      <c r="J929" s="873">
        <f>K929/100*40</f>
        <v>2400</v>
      </c>
      <c r="K929" s="873">
        <v>6000</v>
      </c>
    </row>
    <row r="930" spans="1:11" s="901" customFormat="1" ht="98.25" customHeight="1">
      <c r="A930" s="1068" t="s">
        <v>2162</v>
      </c>
      <c r="B930" s="1069"/>
      <c r="C930" s="928" t="s">
        <v>1999</v>
      </c>
      <c r="D930" s="928">
        <v>10</v>
      </c>
      <c r="E930" s="928" t="s">
        <v>2173</v>
      </c>
      <c r="F930" s="1046"/>
      <c r="G930" s="1074"/>
      <c r="H930" s="1077"/>
      <c r="I930" s="873">
        <f>K930/100*60</f>
        <v>2400</v>
      </c>
      <c r="J930" s="873">
        <f>K930/100*40</f>
        <v>1600</v>
      </c>
      <c r="K930" s="873">
        <v>4000</v>
      </c>
    </row>
    <row r="931" spans="1:11" s="951" customFormat="1" ht="98.25" customHeight="1">
      <c r="A931" s="1125"/>
      <c r="B931" s="1126"/>
      <c r="C931" s="947"/>
      <c r="D931" s="947"/>
      <c r="E931" s="948"/>
      <c r="F931" s="949"/>
      <c r="G931" s="950"/>
      <c r="H931" s="950"/>
      <c r="I931" s="742"/>
      <c r="J931" s="742"/>
      <c r="K931" s="742"/>
    </row>
    <row r="932" spans="1:11" s="902" customFormat="1" ht="98.25" customHeight="1">
      <c r="A932" s="1111" t="s">
        <v>37</v>
      </c>
      <c r="B932" s="1112"/>
      <c r="C932" s="983" t="s">
        <v>178</v>
      </c>
      <c r="D932" s="983" t="s">
        <v>179</v>
      </c>
      <c r="E932" s="983" t="s">
        <v>1521</v>
      </c>
      <c r="F932" s="983" t="s">
        <v>14</v>
      </c>
      <c r="G932" s="983" t="s">
        <v>1515</v>
      </c>
      <c r="H932" s="983" t="s">
        <v>16</v>
      </c>
      <c r="I932" s="1108" t="s">
        <v>1490</v>
      </c>
      <c r="J932" s="1108" t="s">
        <v>2506</v>
      </c>
      <c r="K932" s="983" t="s">
        <v>200</v>
      </c>
    </row>
    <row r="933" spans="1:11" s="900" customFormat="1" ht="98.25" customHeight="1">
      <c r="A933" s="1113"/>
      <c r="B933" s="1114"/>
      <c r="C933" s="984"/>
      <c r="D933" s="984"/>
      <c r="E933" s="984"/>
      <c r="F933" s="984"/>
      <c r="G933" s="984"/>
      <c r="H933" s="984"/>
      <c r="I933" s="1108"/>
      <c r="J933" s="1108"/>
      <c r="K933" s="984"/>
    </row>
    <row r="934" spans="1:11" s="900" customFormat="1" ht="98.25" customHeight="1">
      <c r="A934" s="1109" t="s">
        <v>2030</v>
      </c>
      <c r="B934" s="1110"/>
      <c r="C934" s="921"/>
      <c r="D934" s="921"/>
      <c r="E934" s="922"/>
      <c r="F934" s="923"/>
      <c r="G934" s="924"/>
      <c r="H934" s="924"/>
      <c r="I934" s="920">
        <f>I937+I945+I935+I943</f>
        <v>84009</v>
      </c>
      <c r="J934" s="920">
        <f>J937+J945+J935+J943</f>
        <v>56006</v>
      </c>
      <c r="K934" s="920">
        <f>I934+J934</f>
        <v>140015</v>
      </c>
    </row>
    <row r="935" spans="1:11" s="927" customFormat="1" ht="98.25" customHeight="1">
      <c r="A935" s="1070" t="s">
        <v>2251</v>
      </c>
      <c r="B935" s="1115"/>
      <c r="C935" s="1115"/>
      <c r="D935" s="1115"/>
      <c r="E935" s="1115"/>
      <c r="F935" s="1071"/>
      <c r="G935" s="925"/>
      <c r="H935" s="926"/>
      <c r="I935" s="871">
        <f>SUM(I936:I936)</f>
        <v>19851</v>
      </c>
      <c r="J935" s="871">
        <f>SUM(J936:J936)</f>
        <v>13234</v>
      </c>
      <c r="K935" s="871">
        <f>I935+J935</f>
        <v>33085</v>
      </c>
    </row>
    <row r="936" spans="1:11" s="901" customFormat="1" ht="98.25" customHeight="1">
      <c r="A936" s="1068" t="s">
        <v>2031</v>
      </c>
      <c r="B936" s="1069"/>
      <c r="C936" s="928" t="s">
        <v>147</v>
      </c>
      <c r="D936" s="928">
        <v>189</v>
      </c>
      <c r="E936" s="928" t="s">
        <v>2032</v>
      </c>
      <c r="F936" s="840" t="s">
        <v>2260</v>
      </c>
      <c r="G936" s="956">
        <v>8100</v>
      </c>
      <c r="H936" s="930" t="s">
        <v>2273</v>
      </c>
      <c r="I936" s="873">
        <f>K936/100*60</f>
        <v>19851</v>
      </c>
      <c r="J936" s="873">
        <f>K936/100*40</f>
        <v>13234</v>
      </c>
      <c r="K936" s="873">
        <v>33085</v>
      </c>
    </row>
    <row r="937" spans="1:11" s="902" customFormat="1" ht="98.25" customHeight="1">
      <c r="A937" s="1070" t="s">
        <v>1541</v>
      </c>
      <c r="B937" s="1071"/>
      <c r="C937" s="925"/>
      <c r="D937" s="925"/>
      <c r="E937" s="925"/>
      <c r="F937" s="931"/>
      <c r="G937" s="925"/>
      <c r="H937" s="926"/>
      <c r="I937" s="871">
        <f>SUM(I938:I942)</f>
        <v>56358</v>
      </c>
      <c r="J937" s="871">
        <f>SUM(J938:J942)</f>
        <v>37572</v>
      </c>
      <c r="K937" s="871">
        <f>I937+J937</f>
        <v>93930</v>
      </c>
    </row>
    <row r="938" spans="1:11" s="901" customFormat="1" ht="98.25" customHeight="1">
      <c r="A938" s="1068" t="s">
        <v>2035</v>
      </c>
      <c r="B938" s="1069"/>
      <c r="C938" s="928" t="s">
        <v>2042</v>
      </c>
      <c r="D938" s="928">
        <v>3</v>
      </c>
      <c r="E938" s="928" t="s">
        <v>2040</v>
      </c>
      <c r="F938" s="840" t="s">
        <v>2229</v>
      </c>
      <c r="G938" s="1072">
        <v>8100</v>
      </c>
      <c r="H938" s="1075" t="s">
        <v>2273</v>
      </c>
      <c r="I938" s="873">
        <f>K938/100*60</f>
        <v>9558</v>
      </c>
      <c r="J938" s="873">
        <f>K938/100*40</f>
        <v>6372</v>
      </c>
      <c r="K938" s="873">
        <v>15930</v>
      </c>
    </row>
    <row r="939" spans="1:11" s="901" customFormat="1" ht="98.25" customHeight="1">
      <c r="A939" s="1068" t="s">
        <v>2034</v>
      </c>
      <c r="B939" s="1069"/>
      <c r="C939" s="928" t="s">
        <v>2041</v>
      </c>
      <c r="D939" s="928">
        <v>60</v>
      </c>
      <c r="E939" s="928" t="s">
        <v>2040</v>
      </c>
      <c r="F939" s="840" t="s">
        <v>2230</v>
      </c>
      <c r="G939" s="1073"/>
      <c r="H939" s="1076"/>
      <c r="I939" s="873">
        <f>K939/100*60</f>
        <v>15000</v>
      </c>
      <c r="J939" s="873">
        <f>K939/100*40</f>
        <v>10000</v>
      </c>
      <c r="K939" s="873">
        <v>25000</v>
      </c>
    </row>
    <row r="940" spans="1:11" s="901" customFormat="1" ht="98.25" customHeight="1">
      <c r="A940" s="1068" t="s">
        <v>2036</v>
      </c>
      <c r="B940" s="1069"/>
      <c r="C940" s="928" t="s">
        <v>1914</v>
      </c>
      <c r="D940" s="928">
        <v>6</v>
      </c>
      <c r="E940" s="928" t="s">
        <v>2043</v>
      </c>
      <c r="F940" s="1044" t="s">
        <v>2231</v>
      </c>
      <c r="G940" s="1073"/>
      <c r="H940" s="1076"/>
      <c r="I940" s="873">
        <f>K940/100*60</f>
        <v>10800</v>
      </c>
      <c r="J940" s="873">
        <f>K940/100*40</f>
        <v>7200</v>
      </c>
      <c r="K940" s="873">
        <v>18000</v>
      </c>
    </row>
    <row r="941" spans="1:11" s="901" customFormat="1" ht="98.25" customHeight="1">
      <c r="A941" s="1068" t="s">
        <v>2033</v>
      </c>
      <c r="B941" s="1069"/>
      <c r="C941" s="928" t="s">
        <v>2039</v>
      </c>
      <c r="D941" s="928">
        <v>3</v>
      </c>
      <c r="E941" s="928" t="s">
        <v>2040</v>
      </c>
      <c r="F941" s="1045"/>
      <c r="G941" s="1073"/>
      <c r="H941" s="1076"/>
      <c r="I941" s="873">
        <f>K941/100*60</f>
        <v>12000</v>
      </c>
      <c r="J941" s="873">
        <f>K941/100*40</f>
        <v>8000</v>
      </c>
      <c r="K941" s="873">
        <v>20000</v>
      </c>
    </row>
    <row r="942" spans="1:11" s="901" customFormat="1" ht="98.25" customHeight="1">
      <c r="A942" s="1068" t="s">
        <v>2037</v>
      </c>
      <c r="B942" s="1069"/>
      <c r="C942" s="928" t="s">
        <v>1934</v>
      </c>
      <c r="D942" s="928">
        <v>15</v>
      </c>
      <c r="E942" s="928" t="s">
        <v>2044</v>
      </c>
      <c r="F942" s="1046"/>
      <c r="G942" s="1074"/>
      <c r="H942" s="1077"/>
      <c r="I942" s="873">
        <f>K942/100*60</f>
        <v>9000</v>
      </c>
      <c r="J942" s="873">
        <f>K942/100*40</f>
        <v>6000</v>
      </c>
      <c r="K942" s="873">
        <v>15000</v>
      </c>
    </row>
    <row r="943" spans="1:11" s="902" customFormat="1" ht="98.25" customHeight="1">
      <c r="A943" s="1070" t="s">
        <v>278</v>
      </c>
      <c r="B943" s="1071"/>
      <c r="C943" s="925"/>
      <c r="D943" s="925"/>
      <c r="E943" s="925"/>
      <c r="F943" s="931"/>
      <c r="G943" s="925"/>
      <c r="H943" s="926"/>
      <c r="I943" s="871">
        <f>SUM(I944)</f>
        <v>6000</v>
      </c>
      <c r="J943" s="871">
        <f>SUM(J944)</f>
        <v>4000</v>
      </c>
      <c r="K943" s="871">
        <f>I943+J943</f>
        <v>10000</v>
      </c>
    </row>
    <row r="944" spans="1:11" s="901" customFormat="1" ht="98.25" customHeight="1">
      <c r="A944" s="1068" t="s">
        <v>2530</v>
      </c>
      <c r="B944" s="1069"/>
      <c r="C944" s="928" t="s">
        <v>1215</v>
      </c>
      <c r="D944" s="928">
        <v>3</v>
      </c>
      <c r="E944" s="945" t="s">
        <v>2045</v>
      </c>
      <c r="F944" s="842" t="s">
        <v>2234</v>
      </c>
      <c r="G944" s="929">
        <v>8100</v>
      </c>
      <c r="H944" s="932" t="s">
        <v>2445</v>
      </c>
      <c r="I944" s="873">
        <f>K944/100*60</f>
        <v>6000</v>
      </c>
      <c r="J944" s="873">
        <f>K944/100*40</f>
        <v>4000</v>
      </c>
      <c r="K944" s="873">
        <v>10000</v>
      </c>
    </row>
    <row r="945" spans="1:11" s="902" customFormat="1" ht="98.25" customHeight="1">
      <c r="A945" s="1070" t="s">
        <v>312</v>
      </c>
      <c r="B945" s="1071"/>
      <c r="C945" s="925"/>
      <c r="D945" s="925"/>
      <c r="E945" s="925"/>
      <c r="F945" s="931"/>
      <c r="G945" s="925"/>
      <c r="H945" s="926"/>
      <c r="I945" s="871">
        <f>SUM(I946:I946)</f>
        <v>1800</v>
      </c>
      <c r="J945" s="871">
        <f>SUM(J946:J946)</f>
        <v>1200</v>
      </c>
      <c r="K945" s="871">
        <f>I945+J945</f>
        <v>3000</v>
      </c>
    </row>
    <row r="946" spans="1:11" s="901" customFormat="1" ht="98.25" customHeight="1">
      <c r="A946" s="1068" t="s">
        <v>2038</v>
      </c>
      <c r="B946" s="1069"/>
      <c r="C946" s="928" t="s">
        <v>2041</v>
      </c>
      <c r="D946" s="928">
        <v>10</v>
      </c>
      <c r="E946" s="928" t="s">
        <v>2046</v>
      </c>
      <c r="F946" s="842" t="s">
        <v>2224</v>
      </c>
      <c r="G946" s="929">
        <v>8100</v>
      </c>
      <c r="H946" s="932" t="s">
        <v>2273</v>
      </c>
      <c r="I946" s="873">
        <f>K946/100*60</f>
        <v>1800</v>
      </c>
      <c r="J946" s="873">
        <f>K946/100*40</f>
        <v>1200</v>
      </c>
      <c r="K946" s="873">
        <v>3000</v>
      </c>
    </row>
    <row r="947" spans="1:11" s="901" customFormat="1" ht="98.25" customHeight="1">
      <c r="A947" s="1066" t="s">
        <v>2455</v>
      </c>
      <c r="B947" s="1066"/>
      <c r="C947" s="1066"/>
      <c r="D947" s="1066"/>
      <c r="E947" s="1066"/>
      <c r="F947" s="1066"/>
      <c r="G947" s="1066"/>
      <c r="H947" s="1066"/>
      <c r="I947" s="1066"/>
      <c r="J947" s="1066"/>
      <c r="K947" s="1066"/>
    </row>
    <row r="948" spans="1:11" s="510" customFormat="1" ht="74.25" customHeight="1">
      <c r="A948" s="753"/>
      <c r="B948" s="753"/>
      <c r="C948" s="753"/>
      <c r="D948" s="753"/>
      <c r="E948" s="753"/>
      <c r="F948" s="753"/>
      <c r="G948" s="753"/>
      <c r="H948" s="753"/>
      <c r="I948" s="753"/>
      <c r="J948" s="753"/>
      <c r="K948" s="753"/>
    </row>
    <row r="949" spans="1:11" ht="45">
      <c r="A949" s="979" t="s">
        <v>2493</v>
      </c>
      <c r="B949" s="979"/>
      <c r="C949" s="979"/>
      <c r="D949" s="979"/>
      <c r="E949" s="979"/>
      <c r="F949" s="979"/>
      <c r="G949" s="979"/>
      <c r="H949" s="979"/>
      <c r="I949" s="979"/>
      <c r="J949" s="979"/>
      <c r="K949" s="979"/>
    </row>
    <row r="950" spans="1:11" ht="45">
      <c r="A950" s="979" t="s">
        <v>52</v>
      </c>
      <c r="B950" s="979"/>
      <c r="C950" s="979"/>
      <c r="D950" s="979"/>
      <c r="E950" s="979"/>
      <c r="F950" s="979"/>
      <c r="G950" s="979"/>
      <c r="H950" s="979"/>
      <c r="I950" s="979"/>
      <c r="J950" s="979"/>
      <c r="K950" s="979"/>
    </row>
    <row r="951" spans="1:11" ht="45">
      <c r="A951" s="1040" t="s">
        <v>50</v>
      </c>
      <c r="B951" s="1040"/>
      <c r="C951" s="1040"/>
      <c r="D951" s="1040"/>
      <c r="E951" s="1040"/>
      <c r="F951" s="1040"/>
      <c r="G951" s="1040"/>
      <c r="H951" s="1040"/>
      <c r="I951" s="1040"/>
      <c r="J951" s="1040"/>
      <c r="K951" s="1040"/>
    </row>
    <row r="952" spans="1:11" ht="44.25">
      <c r="A952" s="736"/>
      <c r="B952" s="736"/>
      <c r="C952" s="736"/>
      <c r="D952" s="736"/>
      <c r="E952" s="736"/>
      <c r="F952" s="736"/>
      <c r="G952" s="838"/>
      <c r="H952" s="838"/>
      <c r="I952" s="838"/>
      <c r="J952" s="838"/>
      <c r="K952" s="838"/>
    </row>
    <row r="953" spans="1:11" ht="45">
      <c r="A953" s="979" t="s">
        <v>1489</v>
      </c>
      <c r="B953" s="979"/>
      <c r="C953" s="979"/>
      <c r="D953" s="979"/>
      <c r="E953" s="979"/>
      <c r="F953" s="979"/>
      <c r="G953" s="979"/>
      <c r="H953" s="979"/>
      <c r="I953" s="979"/>
      <c r="J953" s="979"/>
      <c r="K953" s="979"/>
    </row>
    <row r="954" spans="1:11" s="620" customFormat="1" ht="33">
      <c r="A954" s="65"/>
      <c r="B954" s="65"/>
      <c r="C954" s="65"/>
      <c r="D954" s="65"/>
      <c r="E954" s="65"/>
      <c r="F954" s="65"/>
      <c r="G954" s="68"/>
      <c r="H954" s="68"/>
      <c r="I954" s="68"/>
      <c r="J954" s="68"/>
      <c r="K954" s="68"/>
    </row>
    <row r="955" spans="1:11" ht="20.100000000000001" customHeight="1">
      <c r="A955" s="65"/>
      <c r="B955" s="65"/>
      <c r="C955" s="65"/>
      <c r="D955" s="65"/>
      <c r="E955" s="65"/>
      <c r="F955" s="65"/>
      <c r="G955" s="68"/>
      <c r="H955" s="68"/>
      <c r="I955" s="68"/>
      <c r="J955" s="68"/>
      <c r="K955" s="68"/>
    </row>
    <row r="956" spans="1:11" ht="20.100000000000001" customHeight="1">
      <c r="A956" s="979"/>
      <c r="B956" s="979"/>
      <c r="C956" s="979"/>
      <c r="D956" s="979"/>
      <c r="E956" s="979"/>
      <c r="F956" s="979"/>
      <c r="G956" s="979"/>
      <c r="H956" s="979"/>
      <c r="I956" s="979"/>
      <c r="J956" s="979"/>
      <c r="K956" s="979"/>
    </row>
    <row r="957" spans="1:11" ht="45.75" customHeight="1">
      <c r="A957" s="1030" t="s">
        <v>1383</v>
      </c>
      <c r="B957" s="1030"/>
      <c r="C957" s="1030"/>
      <c r="D957" s="1030"/>
      <c r="E957" s="1030"/>
      <c r="F957" s="1030"/>
      <c r="G957" s="1030"/>
      <c r="H957" s="1030"/>
      <c r="I957" s="1030"/>
      <c r="J957" s="1030"/>
      <c r="K957" s="1030"/>
    </row>
    <row r="958" spans="1:11" s="902" customFormat="1" ht="98.25" customHeight="1">
      <c r="A958" s="1111" t="s">
        <v>37</v>
      </c>
      <c r="B958" s="1112"/>
      <c r="C958" s="983" t="s">
        <v>178</v>
      </c>
      <c r="D958" s="983" t="s">
        <v>179</v>
      </c>
      <c r="E958" s="983" t="s">
        <v>1521</v>
      </c>
      <c r="F958" s="983" t="s">
        <v>14</v>
      </c>
      <c r="G958" s="983" t="s">
        <v>1515</v>
      </c>
      <c r="H958" s="983" t="s">
        <v>16</v>
      </c>
      <c r="I958" s="1108" t="s">
        <v>1490</v>
      </c>
      <c r="J958" s="1108" t="s">
        <v>2506</v>
      </c>
      <c r="K958" s="983" t="s">
        <v>200</v>
      </c>
    </row>
    <row r="959" spans="1:11" s="900" customFormat="1" ht="98.25" customHeight="1">
      <c r="A959" s="1113"/>
      <c r="B959" s="1114"/>
      <c r="C959" s="984"/>
      <c r="D959" s="984"/>
      <c r="E959" s="984"/>
      <c r="F959" s="984"/>
      <c r="G959" s="984"/>
      <c r="H959" s="984"/>
      <c r="I959" s="1108"/>
      <c r="J959" s="1108"/>
      <c r="K959" s="984"/>
    </row>
    <row r="960" spans="1:11" s="900" customFormat="1" ht="98.25" customHeight="1">
      <c r="A960" s="1109" t="s">
        <v>2047</v>
      </c>
      <c r="B960" s="1110"/>
      <c r="C960" s="921"/>
      <c r="D960" s="921"/>
      <c r="E960" s="922"/>
      <c r="F960" s="923"/>
      <c r="G960" s="924"/>
      <c r="H960" s="924"/>
      <c r="I960" s="920">
        <f>I968+I976+I961+I974</f>
        <v>499128</v>
      </c>
      <c r="J960" s="920">
        <f>J968+J976+J961+J974</f>
        <v>332752</v>
      </c>
      <c r="K960" s="920">
        <f>I960+J960</f>
        <v>831880</v>
      </c>
    </row>
    <row r="961" spans="1:11" s="927" customFormat="1" ht="98.25" customHeight="1">
      <c r="A961" s="1070" t="s">
        <v>2251</v>
      </c>
      <c r="B961" s="1115"/>
      <c r="C961" s="1115"/>
      <c r="D961" s="1115"/>
      <c r="E961" s="1115"/>
      <c r="F961" s="1071"/>
      <c r="G961" s="925"/>
      <c r="H961" s="926"/>
      <c r="I961" s="871">
        <f>SUM(I962:I967)</f>
        <v>192533.4</v>
      </c>
      <c r="J961" s="871">
        <f>SUM(J962:J967)</f>
        <v>128355.6</v>
      </c>
      <c r="K961" s="871">
        <f>I961+J961</f>
        <v>320889</v>
      </c>
    </row>
    <row r="962" spans="1:11" s="901" customFormat="1" ht="98.25" customHeight="1">
      <c r="A962" s="1068" t="s">
        <v>374</v>
      </c>
      <c r="B962" s="1069"/>
      <c r="C962" s="928" t="s">
        <v>147</v>
      </c>
      <c r="D962" s="928">
        <v>149</v>
      </c>
      <c r="E962" s="928" t="s">
        <v>2051</v>
      </c>
      <c r="F962" s="840" t="s">
        <v>2261</v>
      </c>
      <c r="G962" s="1072">
        <v>8100</v>
      </c>
      <c r="H962" s="1075" t="s">
        <v>2273</v>
      </c>
      <c r="I962" s="873">
        <f t="shared" ref="I962:I967" si="35">K962/100*60</f>
        <v>14620.800000000001</v>
      </c>
      <c r="J962" s="873">
        <f t="shared" ref="J962:J967" si="36">K962/100*40</f>
        <v>9747.2000000000007</v>
      </c>
      <c r="K962" s="873">
        <v>24368</v>
      </c>
    </row>
    <row r="963" spans="1:11" s="901" customFormat="1" ht="98.25" customHeight="1">
      <c r="A963" s="1068" t="s">
        <v>375</v>
      </c>
      <c r="B963" s="1069"/>
      <c r="C963" s="928" t="s">
        <v>147</v>
      </c>
      <c r="D963" s="928">
        <v>190</v>
      </c>
      <c r="E963" s="928" t="s">
        <v>2051</v>
      </c>
      <c r="F963" s="840" t="s">
        <v>2262</v>
      </c>
      <c r="G963" s="1073"/>
      <c r="H963" s="1076"/>
      <c r="I963" s="873">
        <f t="shared" si="35"/>
        <v>32507.999999999996</v>
      </c>
      <c r="J963" s="873">
        <f t="shared" si="36"/>
        <v>21672</v>
      </c>
      <c r="K963" s="873">
        <v>54180</v>
      </c>
    </row>
    <row r="964" spans="1:11" s="901" customFormat="1" ht="98.25" customHeight="1">
      <c r="A964" s="1068" t="s">
        <v>376</v>
      </c>
      <c r="B964" s="1069"/>
      <c r="C964" s="928" t="s">
        <v>147</v>
      </c>
      <c r="D964" s="928">
        <v>150</v>
      </c>
      <c r="E964" s="928" t="s">
        <v>2051</v>
      </c>
      <c r="F964" s="840" t="s">
        <v>2263</v>
      </c>
      <c r="G964" s="1073"/>
      <c r="H964" s="1076"/>
      <c r="I964" s="873">
        <f t="shared" si="35"/>
        <v>6844.8</v>
      </c>
      <c r="J964" s="873">
        <f t="shared" si="36"/>
        <v>4563.2</v>
      </c>
      <c r="K964" s="873">
        <v>11408</v>
      </c>
    </row>
    <row r="965" spans="1:11" s="901" customFormat="1" ht="98.25" customHeight="1">
      <c r="A965" s="1068" t="s">
        <v>2048</v>
      </c>
      <c r="B965" s="1069"/>
      <c r="C965" s="928" t="s">
        <v>147</v>
      </c>
      <c r="D965" s="928">
        <v>78</v>
      </c>
      <c r="E965" s="928" t="s">
        <v>2051</v>
      </c>
      <c r="F965" s="840" t="s">
        <v>2264</v>
      </c>
      <c r="G965" s="1073"/>
      <c r="H965" s="1076"/>
      <c r="I965" s="873">
        <f t="shared" si="35"/>
        <v>32296.799999999999</v>
      </c>
      <c r="J965" s="873">
        <f t="shared" si="36"/>
        <v>21531.199999999997</v>
      </c>
      <c r="K965" s="873">
        <v>53828</v>
      </c>
    </row>
    <row r="966" spans="1:11" s="901" customFormat="1" ht="98.25" customHeight="1">
      <c r="A966" s="1068" t="s">
        <v>2049</v>
      </c>
      <c r="B966" s="1069"/>
      <c r="C966" s="928" t="s">
        <v>147</v>
      </c>
      <c r="D966" s="928">
        <v>154</v>
      </c>
      <c r="E966" s="928" t="s">
        <v>2051</v>
      </c>
      <c r="F966" s="840" t="s">
        <v>2265</v>
      </c>
      <c r="G966" s="1073"/>
      <c r="H966" s="1076"/>
      <c r="I966" s="873">
        <f t="shared" si="35"/>
        <v>51555</v>
      </c>
      <c r="J966" s="873">
        <f t="shared" si="36"/>
        <v>34370</v>
      </c>
      <c r="K966" s="873">
        <v>85925</v>
      </c>
    </row>
    <row r="967" spans="1:11" s="901" customFormat="1" ht="98.25" customHeight="1">
      <c r="A967" s="1068" t="s">
        <v>2050</v>
      </c>
      <c r="B967" s="1069"/>
      <c r="C967" s="928" t="s">
        <v>147</v>
      </c>
      <c r="D967" s="928">
        <v>246</v>
      </c>
      <c r="E967" s="928" t="s">
        <v>2051</v>
      </c>
      <c r="F967" s="840" t="s">
        <v>2266</v>
      </c>
      <c r="G967" s="1074"/>
      <c r="H967" s="1077"/>
      <c r="I967" s="873">
        <f t="shared" si="35"/>
        <v>54708</v>
      </c>
      <c r="J967" s="873">
        <f t="shared" si="36"/>
        <v>36472</v>
      </c>
      <c r="K967" s="873">
        <v>91180</v>
      </c>
    </row>
    <row r="968" spans="1:11" s="902" customFormat="1" ht="98.25" customHeight="1">
      <c r="A968" s="1070" t="s">
        <v>1541</v>
      </c>
      <c r="B968" s="1071"/>
      <c r="C968" s="925"/>
      <c r="D968" s="925"/>
      <c r="E968" s="925"/>
      <c r="F968" s="931"/>
      <c r="G968" s="925"/>
      <c r="H968" s="926"/>
      <c r="I968" s="871">
        <f>SUM(I969:I973)</f>
        <v>232736.40000000002</v>
      </c>
      <c r="J968" s="871">
        <f>SUM(J969:J973)</f>
        <v>155157.6</v>
      </c>
      <c r="K968" s="871">
        <f>I968+J968</f>
        <v>387894</v>
      </c>
    </row>
    <row r="969" spans="1:11" s="901" customFormat="1" ht="98.25" customHeight="1">
      <c r="A969" s="1068" t="s">
        <v>2060</v>
      </c>
      <c r="B969" s="1069"/>
      <c r="C969" s="928" t="s">
        <v>2056</v>
      </c>
      <c r="D969" s="928">
        <v>16</v>
      </c>
      <c r="E969" s="928" t="s">
        <v>2051</v>
      </c>
      <c r="F969" s="1044" t="s">
        <v>2229</v>
      </c>
      <c r="G969" s="1072">
        <v>8100</v>
      </c>
      <c r="H969" s="1075" t="s">
        <v>2273</v>
      </c>
      <c r="I969" s="873">
        <f>K969/100*60</f>
        <v>27000</v>
      </c>
      <c r="J969" s="873">
        <f>K969/100*40</f>
        <v>18000</v>
      </c>
      <c r="K969" s="873">
        <v>45000</v>
      </c>
    </row>
    <row r="970" spans="1:11" s="901" customFormat="1" ht="98.25" customHeight="1">
      <c r="A970" s="1068" t="s">
        <v>2061</v>
      </c>
      <c r="B970" s="1069"/>
      <c r="C970" s="928" t="s">
        <v>2057</v>
      </c>
      <c r="D970" s="928">
        <v>1</v>
      </c>
      <c r="E970" s="928" t="s">
        <v>2051</v>
      </c>
      <c r="F970" s="1045"/>
      <c r="G970" s="1073"/>
      <c r="H970" s="1076"/>
      <c r="I970" s="873">
        <f>K970/100*60</f>
        <v>6600</v>
      </c>
      <c r="J970" s="873">
        <f>K970/100*40</f>
        <v>4400</v>
      </c>
      <c r="K970" s="873">
        <v>11000</v>
      </c>
    </row>
    <row r="971" spans="1:11" s="901" customFormat="1" ht="98.25" customHeight="1">
      <c r="A971" s="1068" t="s">
        <v>2062</v>
      </c>
      <c r="B971" s="1069"/>
      <c r="C971" s="928" t="s">
        <v>2053</v>
      </c>
      <c r="D971" s="928">
        <v>2</v>
      </c>
      <c r="E971" s="928" t="s">
        <v>2054</v>
      </c>
      <c r="F971" s="1044" t="s">
        <v>2230</v>
      </c>
      <c r="G971" s="1073"/>
      <c r="H971" s="1076"/>
      <c r="I971" s="873">
        <f>K971/100*60</f>
        <v>5700</v>
      </c>
      <c r="J971" s="873">
        <f>K971/100*40</f>
        <v>3800</v>
      </c>
      <c r="K971" s="873">
        <v>9500</v>
      </c>
    </row>
    <row r="972" spans="1:11" s="901" customFormat="1" ht="98.25" customHeight="1">
      <c r="A972" s="1068" t="s">
        <v>2063</v>
      </c>
      <c r="B972" s="1069"/>
      <c r="C972" s="928" t="s">
        <v>2055</v>
      </c>
      <c r="D972" s="957">
        <v>0.95</v>
      </c>
      <c r="E972" s="928" t="s">
        <v>2051</v>
      </c>
      <c r="F972" s="1046"/>
      <c r="G972" s="1073"/>
      <c r="H972" s="1076"/>
      <c r="I972" s="873">
        <f>K972/100*60</f>
        <v>78000</v>
      </c>
      <c r="J972" s="873">
        <f>K972/100*40</f>
        <v>52000</v>
      </c>
      <c r="K972" s="873">
        <v>130000</v>
      </c>
    </row>
    <row r="973" spans="1:11" s="901" customFormat="1" ht="98.25" customHeight="1">
      <c r="A973" s="1068" t="s">
        <v>2064</v>
      </c>
      <c r="B973" s="1069"/>
      <c r="C973" s="928" t="s">
        <v>2058</v>
      </c>
      <c r="D973" s="928">
        <v>70</v>
      </c>
      <c r="E973" s="928" t="s">
        <v>2059</v>
      </c>
      <c r="F973" s="840" t="s">
        <v>2231</v>
      </c>
      <c r="G973" s="1074"/>
      <c r="H973" s="1077"/>
      <c r="I973" s="873">
        <f>K973/100*60</f>
        <v>115436.40000000001</v>
      </c>
      <c r="J973" s="873">
        <f>K973/100*40</f>
        <v>76957.600000000006</v>
      </c>
      <c r="K973" s="873">
        <v>192394</v>
      </c>
    </row>
    <row r="974" spans="1:11" s="902" customFormat="1" ht="98.25" customHeight="1">
      <c r="A974" s="1070" t="s">
        <v>278</v>
      </c>
      <c r="B974" s="1071"/>
      <c r="C974" s="925"/>
      <c r="D974" s="925"/>
      <c r="E974" s="925"/>
      <c r="F974" s="931"/>
      <c r="G974" s="925"/>
      <c r="H974" s="926"/>
      <c r="I974" s="871">
        <f>SUM(I975)</f>
        <v>16200</v>
      </c>
      <c r="J974" s="871">
        <f>SUM(J975)</f>
        <v>10800</v>
      </c>
      <c r="K974" s="871">
        <f>I974+J974</f>
        <v>27000</v>
      </c>
    </row>
    <row r="975" spans="1:11" s="901" customFormat="1" ht="98.25" customHeight="1">
      <c r="A975" s="1068" t="s">
        <v>2531</v>
      </c>
      <c r="B975" s="1069"/>
      <c r="C975" s="928" t="s">
        <v>1215</v>
      </c>
      <c r="D975" s="928">
        <v>13</v>
      </c>
      <c r="E975" s="945" t="s">
        <v>2051</v>
      </c>
      <c r="F975" s="842" t="s">
        <v>2234</v>
      </c>
      <c r="G975" s="929">
        <v>8100</v>
      </c>
      <c r="H975" s="932" t="s">
        <v>2445</v>
      </c>
      <c r="I975" s="873">
        <f>K975/100*60</f>
        <v>16200</v>
      </c>
      <c r="J975" s="873">
        <f>K975/100*40</f>
        <v>10800</v>
      </c>
      <c r="K975" s="873">
        <v>27000</v>
      </c>
    </row>
    <row r="976" spans="1:11" s="902" customFormat="1" ht="98.25" customHeight="1">
      <c r="A976" s="1070" t="s">
        <v>312</v>
      </c>
      <c r="B976" s="1071"/>
      <c r="C976" s="925"/>
      <c r="D976" s="925"/>
      <c r="E976" s="925"/>
      <c r="F976" s="931"/>
      <c r="G976" s="925"/>
      <c r="H976" s="926"/>
      <c r="I976" s="871">
        <f>SUM(I977:I979)</f>
        <v>57658.2</v>
      </c>
      <c r="J976" s="871">
        <f>SUM(J977:J979)</f>
        <v>38438.800000000003</v>
      </c>
      <c r="K976" s="871">
        <f>I976+J976</f>
        <v>96097</v>
      </c>
    </row>
    <row r="977" spans="1:11" s="901" customFormat="1" ht="98.25" customHeight="1">
      <c r="A977" s="1068" t="s">
        <v>2065</v>
      </c>
      <c r="B977" s="1069"/>
      <c r="C977" s="928" t="s">
        <v>2052</v>
      </c>
      <c r="D977" s="928">
        <v>92</v>
      </c>
      <c r="E977" s="928" t="s">
        <v>2051</v>
      </c>
      <c r="F977" s="1044" t="s">
        <v>2224</v>
      </c>
      <c r="G977" s="1072">
        <v>8100</v>
      </c>
      <c r="H977" s="1075" t="s">
        <v>2273</v>
      </c>
      <c r="I977" s="873">
        <f>K977/100*60</f>
        <v>5550</v>
      </c>
      <c r="J977" s="873">
        <f>K977/100*40</f>
        <v>3700</v>
      </c>
      <c r="K977" s="873">
        <v>9250</v>
      </c>
    </row>
    <row r="978" spans="1:11" s="901" customFormat="1" ht="98.25" customHeight="1">
      <c r="A978" s="1068" t="s">
        <v>2066</v>
      </c>
      <c r="B978" s="1069"/>
      <c r="C978" s="928" t="s">
        <v>2057</v>
      </c>
      <c r="D978" s="928">
        <v>1</v>
      </c>
      <c r="E978" s="928" t="s">
        <v>2051</v>
      </c>
      <c r="F978" s="1045"/>
      <c r="G978" s="1073"/>
      <c r="H978" s="1076"/>
      <c r="I978" s="873">
        <f>K978/100*60</f>
        <v>24000</v>
      </c>
      <c r="J978" s="873">
        <f>K978/100*40</f>
        <v>16000</v>
      </c>
      <c r="K978" s="873">
        <v>40000</v>
      </c>
    </row>
    <row r="979" spans="1:11" s="901" customFormat="1" ht="98.25" customHeight="1">
      <c r="A979" s="1068" t="s">
        <v>2067</v>
      </c>
      <c r="B979" s="1069"/>
      <c r="C979" s="928" t="s">
        <v>2057</v>
      </c>
      <c r="D979" s="928">
        <v>1</v>
      </c>
      <c r="E979" s="928" t="s">
        <v>2051</v>
      </c>
      <c r="F979" s="1046"/>
      <c r="G979" s="1074"/>
      <c r="H979" s="1077"/>
      <c r="I979" s="873">
        <f>K979/100*60</f>
        <v>28108.2</v>
      </c>
      <c r="J979" s="873">
        <f>K979/100*40</f>
        <v>18738.800000000003</v>
      </c>
      <c r="K979" s="873">
        <v>46847</v>
      </c>
    </row>
    <row r="980" spans="1:11" s="951" customFormat="1" ht="98.25" customHeight="1">
      <c r="A980" s="1125"/>
      <c r="B980" s="1126"/>
      <c r="C980" s="947"/>
      <c r="D980" s="947"/>
      <c r="E980" s="948"/>
      <c r="F980" s="949"/>
      <c r="G980" s="950"/>
      <c r="H980" s="950"/>
      <c r="I980" s="742"/>
      <c r="J980" s="742"/>
      <c r="K980" s="742"/>
    </row>
    <row r="981" spans="1:11" s="902" customFormat="1" ht="98.25" customHeight="1">
      <c r="A981" s="1111" t="s">
        <v>37</v>
      </c>
      <c r="B981" s="1112"/>
      <c r="C981" s="983" t="s">
        <v>178</v>
      </c>
      <c r="D981" s="983" t="s">
        <v>179</v>
      </c>
      <c r="E981" s="983" t="s">
        <v>1521</v>
      </c>
      <c r="F981" s="983" t="s">
        <v>14</v>
      </c>
      <c r="G981" s="983" t="s">
        <v>1515</v>
      </c>
      <c r="H981" s="983" t="s">
        <v>16</v>
      </c>
      <c r="I981" s="1108" t="s">
        <v>1490</v>
      </c>
      <c r="J981" s="1108" t="s">
        <v>2506</v>
      </c>
      <c r="K981" s="983" t="s">
        <v>200</v>
      </c>
    </row>
    <row r="982" spans="1:11" s="900" customFormat="1" ht="98.25" customHeight="1">
      <c r="A982" s="1113"/>
      <c r="B982" s="1114"/>
      <c r="C982" s="984"/>
      <c r="D982" s="984"/>
      <c r="E982" s="984"/>
      <c r="F982" s="984"/>
      <c r="G982" s="984"/>
      <c r="H982" s="984"/>
      <c r="I982" s="1108"/>
      <c r="J982" s="1108"/>
      <c r="K982" s="984"/>
    </row>
    <row r="983" spans="1:11" s="900" customFormat="1" ht="98.25" customHeight="1">
      <c r="A983" s="1109" t="s">
        <v>2070</v>
      </c>
      <c r="B983" s="1110"/>
      <c r="C983" s="921"/>
      <c r="D983" s="921"/>
      <c r="E983" s="922"/>
      <c r="F983" s="923"/>
      <c r="G983" s="924"/>
      <c r="H983" s="924"/>
      <c r="I983" s="920">
        <f>I986+I990+I984</f>
        <v>186247.8</v>
      </c>
      <c r="J983" s="920">
        <f>J986+J990+J984</f>
        <v>124165.20000000001</v>
      </c>
      <c r="K983" s="920">
        <f>I983+J983</f>
        <v>310413</v>
      </c>
    </row>
    <row r="984" spans="1:11" s="927" customFormat="1" ht="98.25" customHeight="1">
      <c r="A984" s="1070" t="s">
        <v>2251</v>
      </c>
      <c r="B984" s="1115"/>
      <c r="C984" s="1115"/>
      <c r="D984" s="1115"/>
      <c r="E984" s="1115"/>
      <c r="F984" s="1071"/>
      <c r="G984" s="925"/>
      <c r="H984" s="926"/>
      <c r="I984" s="871">
        <f>SUM(I985:I985)</f>
        <v>3600</v>
      </c>
      <c r="J984" s="871">
        <f>SUM(J985:J985)</f>
        <v>2400</v>
      </c>
      <c r="K984" s="871">
        <f>I984+J984</f>
        <v>6000</v>
      </c>
    </row>
    <row r="985" spans="1:11" s="901" customFormat="1" ht="98.25" customHeight="1">
      <c r="A985" s="1068" t="s">
        <v>2071</v>
      </c>
      <c r="B985" s="1069"/>
      <c r="C985" s="928" t="s">
        <v>1544</v>
      </c>
      <c r="D985" s="928"/>
      <c r="E985" s="928" t="s">
        <v>1544</v>
      </c>
      <c r="F985" s="840" t="s">
        <v>2267</v>
      </c>
      <c r="G985" s="956">
        <v>8100</v>
      </c>
      <c r="H985" s="930" t="s">
        <v>2273</v>
      </c>
      <c r="I985" s="873">
        <f>K985/100*60</f>
        <v>3600</v>
      </c>
      <c r="J985" s="873">
        <f>K985/100*40</f>
        <v>2400</v>
      </c>
      <c r="K985" s="873">
        <v>6000</v>
      </c>
    </row>
    <row r="986" spans="1:11" s="902" customFormat="1" ht="98.25" customHeight="1">
      <c r="A986" s="1070" t="s">
        <v>1541</v>
      </c>
      <c r="B986" s="1071"/>
      <c r="C986" s="925"/>
      <c r="D986" s="925"/>
      <c r="E986" s="925"/>
      <c r="F986" s="931"/>
      <c r="G986" s="925"/>
      <c r="H986" s="926"/>
      <c r="I986" s="871">
        <f>SUM(I987:I989)</f>
        <v>177415.8</v>
      </c>
      <c r="J986" s="871">
        <f>SUM(J987:J989)</f>
        <v>118277.20000000001</v>
      </c>
      <c r="K986" s="871">
        <f>I986+J986</f>
        <v>295693</v>
      </c>
    </row>
    <row r="987" spans="1:11" s="901" customFormat="1" ht="98.25" customHeight="1">
      <c r="A987" s="1068" t="s">
        <v>2068</v>
      </c>
      <c r="B987" s="1069"/>
      <c r="C987" s="928" t="s">
        <v>1544</v>
      </c>
      <c r="D987" s="928"/>
      <c r="E987" s="928" t="s">
        <v>1544</v>
      </c>
      <c r="F987" s="840" t="s">
        <v>2229</v>
      </c>
      <c r="G987" s="1072">
        <v>8100</v>
      </c>
      <c r="H987" s="1075" t="s">
        <v>2273</v>
      </c>
      <c r="I987" s="873">
        <f>K987/100*60</f>
        <v>53400</v>
      </c>
      <c r="J987" s="873">
        <f>K987/100*40</f>
        <v>35600</v>
      </c>
      <c r="K987" s="873">
        <v>89000</v>
      </c>
    </row>
    <row r="988" spans="1:11" s="901" customFormat="1" ht="98.25" customHeight="1">
      <c r="A988" s="1068" t="s">
        <v>1546</v>
      </c>
      <c r="B988" s="1069"/>
      <c r="C988" s="928" t="s">
        <v>1544</v>
      </c>
      <c r="D988" s="928"/>
      <c r="E988" s="928" t="s">
        <v>1544</v>
      </c>
      <c r="F988" s="840" t="s">
        <v>2230</v>
      </c>
      <c r="G988" s="1073"/>
      <c r="H988" s="1076"/>
      <c r="I988" s="873">
        <f>K988/100*60</f>
        <v>27600</v>
      </c>
      <c r="J988" s="873">
        <f>K988/100*40</f>
        <v>18400</v>
      </c>
      <c r="K988" s="873">
        <v>46000</v>
      </c>
    </row>
    <row r="989" spans="1:11" s="901" customFormat="1" ht="98.25" customHeight="1">
      <c r="A989" s="1068" t="s">
        <v>2069</v>
      </c>
      <c r="B989" s="1069"/>
      <c r="C989" s="928" t="s">
        <v>1544</v>
      </c>
      <c r="D989" s="928"/>
      <c r="E989" s="928" t="s">
        <v>1544</v>
      </c>
      <c r="F989" s="840" t="s">
        <v>2231</v>
      </c>
      <c r="G989" s="1073"/>
      <c r="H989" s="1076"/>
      <c r="I989" s="873">
        <f>K989/100*60</f>
        <v>96415.8</v>
      </c>
      <c r="J989" s="873">
        <f>K989/100*40</f>
        <v>64277.200000000004</v>
      </c>
      <c r="K989" s="873">
        <v>160693</v>
      </c>
    </row>
    <row r="990" spans="1:11" s="902" customFormat="1" ht="98.25" customHeight="1">
      <c r="A990" s="1070" t="s">
        <v>312</v>
      </c>
      <c r="B990" s="1071"/>
      <c r="C990" s="925"/>
      <c r="D990" s="925"/>
      <c r="E990" s="925"/>
      <c r="F990" s="931"/>
      <c r="G990" s="925"/>
      <c r="H990" s="926"/>
      <c r="I990" s="871">
        <f>SUM(I991:I991)</f>
        <v>5232</v>
      </c>
      <c r="J990" s="871">
        <f>SUM(J991:J991)</f>
        <v>3488</v>
      </c>
      <c r="K990" s="871">
        <f>I990+J990</f>
        <v>8720</v>
      </c>
    </row>
    <row r="991" spans="1:11" s="901" customFormat="1" ht="98.25" customHeight="1">
      <c r="A991" s="1068" t="s">
        <v>2072</v>
      </c>
      <c r="B991" s="1069"/>
      <c r="C991" s="928" t="s">
        <v>1544</v>
      </c>
      <c r="D991" s="928"/>
      <c r="E991" s="928" t="s">
        <v>1544</v>
      </c>
      <c r="F991" s="842" t="s">
        <v>2224</v>
      </c>
      <c r="G991" s="956">
        <v>8100</v>
      </c>
      <c r="H991" s="930" t="s">
        <v>2273</v>
      </c>
      <c r="I991" s="873">
        <f>K991/100*60</f>
        <v>5232</v>
      </c>
      <c r="J991" s="873">
        <f>K991/100*40</f>
        <v>3488</v>
      </c>
      <c r="K991" s="873">
        <v>8720</v>
      </c>
    </row>
    <row r="992" spans="1:11" s="901" customFormat="1" ht="98.25" customHeight="1">
      <c r="A992" s="1066" t="s">
        <v>2455</v>
      </c>
      <c r="B992" s="1066"/>
      <c r="C992" s="1066"/>
      <c r="D992" s="1066"/>
      <c r="E992" s="1066"/>
      <c r="F992" s="1066"/>
      <c r="G992" s="1066"/>
      <c r="H992" s="1066"/>
      <c r="I992" s="1066"/>
      <c r="J992" s="1066"/>
      <c r="K992" s="1066"/>
    </row>
    <row r="993" spans="1:11" s="510" customFormat="1" ht="74.25" customHeight="1">
      <c r="A993" s="853"/>
      <c r="B993" s="853"/>
      <c r="C993" s="853"/>
      <c r="D993" s="853"/>
      <c r="E993" s="853"/>
      <c r="F993" s="853"/>
      <c r="G993" s="853"/>
      <c r="H993" s="853"/>
      <c r="I993" s="853"/>
      <c r="J993" s="853"/>
      <c r="K993" s="853"/>
    </row>
    <row r="994" spans="1:11" ht="45">
      <c r="A994" s="979" t="s">
        <v>2493</v>
      </c>
      <c r="B994" s="979"/>
      <c r="C994" s="979"/>
      <c r="D994" s="979"/>
      <c r="E994" s="979"/>
      <c r="F994" s="979"/>
      <c r="G994" s="979"/>
      <c r="H994" s="979"/>
      <c r="I994" s="979"/>
      <c r="J994" s="979"/>
      <c r="K994" s="979"/>
    </row>
    <row r="995" spans="1:11" ht="45">
      <c r="A995" s="979" t="s">
        <v>52</v>
      </c>
      <c r="B995" s="979"/>
      <c r="C995" s="979"/>
      <c r="D995" s="979"/>
      <c r="E995" s="979"/>
      <c r="F995" s="979"/>
      <c r="G995" s="979"/>
      <c r="H995" s="979"/>
      <c r="I995" s="979"/>
      <c r="J995" s="979"/>
      <c r="K995" s="979"/>
    </row>
    <row r="996" spans="1:11" ht="45">
      <c r="A996" s="1040" t="s">
        <v>50</v>
      </c>
      <c r="B996" s="1040"/>
      <c r="C996" s="1040"/>
      <c r="D996" s="1040"/>
      <c r="E996" s="1040"/>
      <c r="F996" s="1040"/>
      <c r="G996" s="1040"/>
      <c r="H996" s="1040"/>
      <c r="I996" s="1040"/>
      <c r="J996" s="1040"/>
      <c r="K996" s="1040"/>
    </row>
    <row r="997" spans="1:11" ht="44.25">
      <c r="A997" s="736"/>
      <c r="B997" s="736"/>
      <c r="C997" s="736"/>
      <c r="D997" s="736"/>
      <c r="E997" s="736"/>
      <c r="F997" s="736"/>
      <c r="G997" s="843"/>
      <c r="H997" s="843"/>
      <c r="I997" s="843"/>
      <c r="J997" s="843"/>
      <c r="K997" s="843"/>
    </row>
    <row r="998" spans="1:11" ht="45">
      <c r="A998" s="979" t="s">
        <v>1489</v>
      </c>
      <c r="B998" s="979"/>
      <c r="C998" s="979"/>
      <c r="D998" s="979"/>
      <c r="E998" s="979"/>
      <c r="F998" s="979"/>
      <c r="G998" s="979"/>
      <c r="H998" s="979"/>
      <c r="I998" s="979"/>
      <c r="J998" s="979"/>
      <c r="K998" s="979"/>
    </row>
    <row r="999" spans="1:11" s="620" customFormat="1" ht="33">
      <c r="A999" s="65"/>
      <c r="B999" s="65"/>
      <c r="C999" s="65"/>
      <c r="D999" s="65"/>
      <c r="E999" s="65"/>
      <c r="F999" s="65"/>
      <c r="G999" s="68"/>
      <c r="H999" s="68"/>
      <c r="I999" s="68"/>
      <c r="J999" s="68"/>
      <c r="K999" s="68"/>
    </row>
    <row r="1000" spans="1:11" ht="20.100000000000001" customHeight="1">
      <c r="A1000" s="65"/>
      <c r="B1000" s="65"/>
      <c r="C1000" s="65"/>
      <c r="D1000" s="65"/>
      <c r="E1000" s="65"/>
      <c r="F1000" s="65"/>
      <c r="G1000" s="68"/>
      <c r="H1000" s="68"/>
      <c r="I1000" s="68"/>
      <c r="J1000" s="68"/>
      <c r="K1000" s="68"/>
    </row>
    <row r="1001" spans="1:11" ht="20.100000000000001" customHeight="1">
      <c r="A1001" s="979"/>
      <c r="B1001" s="979"/>
      <c r="C1001" s="979"/>
      <c r="D1001" s="979"/>
      <c r="E1001" s="979"/>
      <c r="F1001" s="979"/>
      <c r="G1001" s="979"/>
      <c r="H1001" s="979"/>
      <c r="I1001" s="979"/>
      <c r="J1001" s="979"/>
      <c r="K1001" s="979"/>
    </row>
    <row r="1002" spans="1:11" ht="45.75" customHeight="1">
      <c r="A1002" s="1030" t="s">
        <v>1383</v>
      </c>
      <c r="B1002" s="1030"/>
      <c r="C1002" s="1030"/>
      <c r="D1002" s="1030"/>
      <c r="E1002" s="1030"/>
      <c r="F1002" s="1030"/>
      <c r="G1002" s="1030"/>
      <c r="H1002" s="1030"/>
      <c r="I1002" s="1030"/>
      <c r="J1002" s="1030"/>
      <c r="K1002" s="1030"/>
    </row>
    <row r="1003" spans="1:11" s="902" customFormat="1" ht="98.25" customHeight="1">
      <c r="A1003" s="1111" t="s">
        <v>37</v>
      </c>
      <c r="B1003" s="1112"/>
      <c r="C1003" s="983" t="s">
        <v>178</v>
      </c>
      <c r="D1003" s="983" t="s">
        <v>179</v>
      </c>
      <c r="E1003" s="983" t="s">
        <v>1521</v>
      </c>
      <c r="F1003" s="983" t="s">
        <v>14</v>
      </c>
      <c r="G1003" s="983" t="s">
        <v>1515</v>
      </c>
      <c r="H1003" s="983" t="s">
        <v>16</v>
      </c>
      <c r="I1003" s="1108" t="s">
        <v>1490</v>
      </c>
      <c r="J1003" s="1108" t="s">
        <v>2506</v>
      </c>
      <c r="K1003" s="983" t="s">
        <v>200</v>
      </c>
    </row>
    <row r="1004" spans="1:11" s="900" customFormat="1" ht="98.25" customHeight="1">
      <c r="A1004" s="1113"/>
      <c r="B1004" s="1114"/>
      <c r="C1004" s="984"/>
      <c r="D1004" s="984"/>
      <c r="E1004" s="984"/>
      <c r="F1004" s="984"/>
      <c r="G1004" s="984"/>
      <c r="H1004" s="984"/>
      <c r="I1004" s="1108"/>
      <c r="J1004" s="1108"/>
      <c r="K1004" s="984"/>
    </row>
    <row r="1005" spans="1:11" s="900" customFormat="1" ht="98.25" customHeight="1">
      <c r="A1005" s="1109" t="s">
        <v>2137</v>
      </c>
      <c r="B1005" s="1110"/>
      <c r="C1005" s="921"/>
      <c r="D1005" s="921"/>
      <c r="E1005" s="922"/>
      <c r="F1005" s="923"/>
      <c r="G1005" s="924"/>
      <c r="H1005" s="924"/>
      <c r="I1005" s="920">
        <f>I1008+I1020+I1006+I1018</f>
        <v>284751.00000000006</v>
      </c>
      <c r="J1005" s="920">
        <f>J1008+J1020+J1006+J1018</f>
        <v>189834</v>
      </c>
      <c r="K1005" s="920">
        <f>I1005+J1005</f>
        <v>474585.00000000006</v>
      </c>
    </row>
    <row r="1006" spans="1:11" s="927" customFormat="1" ht="98.25" customHeight="1">
      <c r="A1006" s="1070" t="s">
        <v>2251</v>
      </c>
      <c r="B1006" s="1115"/>
      <c r="C1006" s="1115"/>
      <c r="D1006" s="1115"/>
      <c r="E1006" s="1115"/>
      <c r="F1006" s="1071"/>
      <c r="G1006" s="925"/>
      <c r="H1006" s="926"/>
      <c r="I1006" s="871">
        <f>SUM(I1007:I1007)</f>
        <v>50820</v>
      </c>
      <c r="J1006" s="871">
        <f>SUM(J1007:J1007)</f>
        <v>33880</v>
      </c>
      <c r="K1006" s="871">
        <f>I1006+J1006</f>
        <v>84700</v>
      </c>
    </row>
    <row r="1007" spans="1:11" s="901" customFormat="1" ht="98.25" customHeight="1">
      <c r="A1007" s="1068" t="s">
        <v>2138</v>
      </c>
      <c r="B1007" s="1069"/>
      <c r="C1007" s="928" t="s">
        <v>147</v>
      </c>
      <c r="D1007" s="928">
        <v>193</v>
      </c>
      <c r="E1007" s="928" t="s">
        <v>2148</v>
      </c>
      <c r="F1007" s="840" t="s">
        <v>2268</v>
      </c>
      <c r="G1007" s="956">
        <v>8100</v>
      </c>
      <c r="H1007" s="930" t="s">
        <v>2273</v>
      </c>
      <c r="I1007" s="873">
        <f>K1007/100*60</f>
        <v>50820</v>
      </c>
      <c r="J1007" s="873">
        <f>K1007/100*40</f>
        <v>33880</v>
      </c>
      <c r="K1007" s="873">
        <v>84700</v>
      </c>
    </row>
    <row r="1008" spans="1:11" s="902" customFormat="1" ht="98.25" customHeight="1">
      <c r="A1008" s="1070" t="s">
        <v>1541</v>
      </c>
      <c r="B1008" s="1071"/>
      <c r="C1008" s="925"/>
      <c r="D1008" s="925"/>
      <c r="E1008" s="925"/>
      <c r="F1008" s="931"/>
      <c r="G1008" s="925"/>
      <c r="H1008" s="926"/>
      <c r="I1008" s="871">
        <f>SUM(I1009:I1017)</f>
        <v>196490.22000000003</v>
      </c>
      <c r="J1008" s="871">
        <f>SUM(J1009:J1017)</f>
        <v>130993.48000000001</v>
      </c>
      <c r="K1008" s="871">
        <f>I1008+J1008</f>
        <v>327483.70000000007</v>
      </c>
    </row>
    <row r="1009" spans="1:11" s="901" customFormat="1" ht="98.25" customHeight="1">
      <c r="A1009" s="1068" t="s">
        <v>2139</v>
      </c>
      <c r="B1009" s="1069"/>
      <c r="C1009" s="928" t="s">
        <v>1827</v>
      </c>
      <c r="D1009" s="928">
        <v>25</v>
      </c>
      <c r="E1009" s="928" t="s">
        <v>2149</v>
      </c>
      <c r="F1009" s="1044" t="s">
        <v>2229</v>
      </c>
      <c r="G1009" s="1072">
        <v>8100</v>
      </c>
      <c r="H1009" s="1075" t="s">
        <v>2273</v>
      </c>
      <c r="I1009" s="873">
        <f t="shared" ref="I1009:I1017" si="37">K1009/100*60</f>
        <v>10272</v>
      </c>
      <c r="J1009" s="873">
        <f t="shared" ref="J1009:J1017" si="38">K1009/100*40</f>
        <v>6848</v>
      </c>
      <c r="K1009" s="873">
        <v>17120</v>
      </c>
    </row>
    <row r="1010" spans="1:11" s="901" customFormat="1" ht="98.25" customHeight="1">
      <c r="A1010" s="1068" t="s">
        <v>2140</v>
      </c>
      <c r="B1010" s="1069"/>
      <c r="C1010" s="928" t="s">
        <v>2144</v>
      </c>
      <c r="D1010" s="928">
        <v>5</v>
      </c>
      <c r="E1010" s="928" t="s">
        <v>2150</v>
      </c>
      <c r="F1010" s="1045"/>
      <c r="G1010" s="1073"/>
      <c r="H1010" s="1076"/>
      <c r="I1010" s="873">
        <f t="shared" si="37"/>
        <v>6993.6</v>
      </c>
      <c r="J1010" s="873">
        <f t="shared" si="38"/>
        <v>4662.3999999999996</v>
      </c>
      <c r="K1010" s="873">
        <v>11656</v>
      </c>
    </row>
    <row r="1011" spans="1:11" s="901" customFormat="1" ht="98.25" customHeight="1">
      <c r="A1011" s="1068" t="s">
        <v>506</v>
      </c>
      <c r="B1011" s="1069"/>
      <c r="C1011" s="928" t="s">
        <v>2145</v>
      </c>
      <c r="D1011" s="928">
        <v>5</v>
      </c>
      <c r="E1011" s="928" t="s">
        <v>2151</v>
      </c>
      <c r="F1011" s="1045"/>
      <c r="G1011" s="1073"/>
      <c r="H1011" s="1076"/>
      <c r="I1011" s="873">
        <f t="shared" si="37"/>
        <v>13846.62</v>
      </c>
      <c r="J1011" s="873">
        <f t="shared" si="38"/>
        <v>9231.08</v>
      </c>
      <c r="K1011" s="873">
        <v>23077.7</v>
      </c>
    </row>
    <row r="1012" spans="1:11" s="901" customFormat="1" ht="98.25" customHeight="1">
      <c r="A1012" s="1068" t="s">
        <v>2007</v>
      </c>
      <c r="B1012" s="1069"/>
      <c r="C1012" s="928" t="s">
        <v>2039</v>
      </c>
      <c r="D1012" s="928">
        <v>10</v>
      </c>
      <c r="E1012" s="928" t="s">
        <v>2152</v>
      </c>
      <c r="F1012" s="1046"/>
      <c r="G1012" s="1073"/>
      <c r="H1012" s="1076"/>
      <c r="I1012" s="873">
        <f t="shared" si="37"/>
        <v>24000</v>
      </c>
      <c r="J1012" s="873">
        <f t="shared" si="38"/>
        <v>16000</v>
      </c>
      <c r="K1012" s="873">
        <v>40000</v>
      </c>
    </row>
    <row r="1013" spans="1:11" s="901" customFormat="1" ht="98.25" customHeight="1">
      <c r="A1013" s="1068" t="s">
        <v>2141</v>
      </c>
      <c r="B1013" s="1069"/>
      <c r="C1013" s="928" t="s">
        <v>1677</v>
      </c>
      <c r="D1013" s="946">
        <v>10000</v>
      </c>
      <c r="E1013" s="928" t="s">
        <v>2153</v>
      </c>
      <c r="F1013" s="1045" t="s">
        <v>2230</v>
      </c>
      <c r="G1013" s="1073"/>
      <c r="H1013" s="1076"/>
      <c r="I1013" s="873">
        <f t="shared" si="37"/>
        <v>34271.4</v>
      </c>
      <c r="J1013" s="873">
        <f t="shared" si="38"/>
        <v>22847.600000000002</v>
      </c>
      <c r="K1013" s="873">
        <v>57119</v>
      </c>
    </row>
    <row r="1014" spans="1:11" s="901" customFormat="1" ht="98.25" customHeight="1">
      <c r="A1014" s="1068" t="s">
        <v>2142</v>
      </c>
      <c r="B1014" s="1069"/>
      <c r="C1014" s="928" t="s">
        <v>2146</v>
      </c>
      <c r="D1014" s="928">
        <v>8</v>
      </c>
      <c r="E1014" s="928" t="s">
        <v>2153</v>
      </c>
      <c r="F1014" s="1046"/>
      <c r="G1014" s="1073"/>
      <c r="H1014" s="1076"/>
      <c r="I1014" s="873">
        <f t="shared" si="37"/>
        <v>62543.400000000009</v>
      </c>
      <c r="J1014" s="873">
        <f t="shared" si="38"/>
        <v>41695.600000000006</v>
      </c>
      <c r="K1014" s="873">
        <v>104239</v>
      </c>
    </row>
    <row r="1015" spans="1:11" s="901" customFormat="1" ht="98.25" customHeight="1">
      <c r="A1015" s="1068" t="s">
        <v>2143</v>
      </c>
      <c r="B1015" s="1069"/>
      <c r="C1015" s="928" t="s">
        <v>2147</v>
      </c>
      <c r="D1015" s="928">
        <v>4</v>
      </c>
      <c r="E1015" s="928" t="s">
        <v>2153</v>
      </c>
      <c r="F1015" s="1044" t="s">
        <v>2231</v>
      </c>
      <c r="G1015" s="1073"/>
      <c r="H1015" s="1076"/>
      <c r="I1015" s="873">
        <f t="shared" si="37"/>
        <v>12000</v>
      </c>
      <c r="J1015" s="873">
        <f t="shared" si="38"/>
        <v>8000</v>
      </c>
      <c r="K1015" s="873">
        <v>20000</v>
      </c>
    </row>
    <row r="1016" spans="1:11" s="901" customFormat="1" ht="98.25" customHeight="1">
      <c r="A1016" s="1068" t="s">
        <v>1808</v>
      </c>
      <c r="B1016" s="1069"/>
      <c r="C1016" s="928" t="s">
        <v>2147</v>
      </c>
      <c r="D1016" s="928">
        <v>4</v>
      </c>
      <c r="E1016" s="928" t="s">
        <v>2153</v>
      </c>
      <c r="F1016" s="1045"/>
      <c r="G1016" s="1073"/>
      <c r="H1016" s="1076"/>
      <c r="I1016" s="873">
        <f t="shared" si="37"/>
        <v>6000</v>
      </c>
      <c r="J1016" s="873">
        <f t="shared" si="38"/>
        <v>4000</v>
      </c>
      <c r="K1016" s="873">
        <v>10000</v>
      </c>
    </row>
    <row r="1017" spans="1:11" s="901" customFormat="1" ht="98.25" customHeight="1">
      <c r="A1017" s="1068" t="s">
        <v>1809</v>
      </c>
      <c r="B1017" s="1069"/>
      <c r="C1017" s="928" t="s">
        <v>2147</v>
      </c>
      <c r="D1017" s="928">
        <v>6</v>
      </c>
      <c r="E1017" s="928" t="s">
        <v>2153</v>
      </c>
      <c r="F1017" s="1046"/>
      <c r="G1017" s="1074"/>
      <c r="H1017" s="1077"/>
      <c r="I1017" s="873">
        <f t="shared" si="37"/>
        <v>26563.200000000001</v>
      </c>
      <c r="J1017" s="873">
        <f t="shared" si="38"/>
        <v>17708.800000000003</v>
      </c>
      <c r="K1017" s="873">
        <v>44272</v>
      </c>
    </row>
    <row r="1018" spans="1:11" s="902" customFormat="1" ht="98.25" customHeight="1">
      <c r="A1018" s="1070" t="s">
        <v>278</v>
      </c>
      <c r="B1018" s="1071"/>
      <c r="C1018" s="925"/>
      <c r="D1018" s="925"/>
      <c r="E1018" s="925"/>
      <c r="F1018" s="931"/>
      <c r="G1018" s="925"/>
      <c r="H1018" s="926"/>
      <c r="I1018" s="871">
        <f>SUM(I1019)</f>
        <v>31986.780000000002</v>
      </c>
      <c r="J1018" s="871">
        <f>SUM(J1019)</f>
        <v>21324.520000000004</v>
      </c>
      <c r="K1018" s="871">
        <f>I1018+J1018</f>
        <v>53311.3</v>
      </c>
    </row>
    <row r="1019" spans="1:11" s="901" customFormat="1" ht="98.25" customHeight="1">
      <c r="A1019" s="1068" t="s">
        <v>2532</v>
      </c>
      <c r="B1019" s="1069"/>
      <c r="C1019" s="928" t="s">
        <v>1215</v>
      </c>
      <c r="D1019" s="928">
        <v>50</v>
      </c>
      <c r="E1019" s="945" t="s">
        <v>2154</v>
      </c>
      <c r="F1019" s="842" t="s">
        <v>2234</v>
      </c>
      <c r="G1019" s="929">
        <v>8100</v>
      </c>
      <c r="H1019" s="932" t="s">
        <v>2445</v>
      </c>
      <c r="I1019" s="873">
        <f>K1019/100*60</f>
        <v>31986.780000000002</v>
      </c>
      <c r="J1019" s="873">
        <f>K1019/100*40</f>
        <v>21324.520000000004</v>
      </c>
      <c r="K1019" s="873">
        <v>53311.3</v>
      </c>
    </row>
    <row r="1020" spans="1:11" s="902" customFormat="1" ht="98.25" customHeight="1">
      <c r="A1020" s="1070" t="s">
        <v>312</v>
      </c>
      <c r="B1020" s="1071"/>
      <c r="C1020" s="925"/>
      <c r="D1020" s="925"/>
      <c r="E1020" s="925"/>
      <c r="F1020" s="931"/>
      <c r="G1020" s="925"/>
      <c r="H1020" s="926"/>
      <c r="I1020" s="871">
        <f>SUM(I1021:I1021)</f>
        <v>5454</v>
      </c>
      <c r="J1020" s="871">
        <f>SUM(J1021:J1021)</f>
        <v>3636</v>
      </c>
      <c r="K1020" s="871">
        <f>I1020+J1020</f>
        <v>9090</v>
      </c>
    </row>
    <row r="1021" spans="1:11" s="901" customFormat="1" ht="98.25" customHeight="1">
      <c r="A1021" s="1068" t="s">
        <v>1799</v>
      </c>
      <c r="B1021" s="1069"/>
      <c r="C1021" s="928" t="s">
        <v>1677</v>
      </c>
      <c r="D1021" s="928">
        <v>30</v>
      </c>
      <c r="E1021" s="928" t="s">
        <v>2155</v>
      </c>
      <c r="F1021" s="842" t="s">
        <v>2224</v>
      </c>
      <c r="G1021" s="929">
        <v>8100</v>
      </c>
      <c r="H1021" s="932" t="s">
        <v>2273</v>
      </c>
      <c r="I1021" s="873">
        <f>K1021/100*60</f>
        <v>5454</v>
      </c>
      <c r="J1021" s="873">
        <f>K1021/100*40</f>
        <v>3636</v>
      </c>
      <c r="K1021" s="873">
        <v>9090</v>
      </c>
    </row>
    <row r="1022" spans="1:11" s="743" customFormat="1" ht="36.75" customHeight="1">
      <c r="A1022" s="1135"/>
      <c r="B1022" s="1136"/>
      <c r="C1022" s="738"/>
      <c r="D1022" s="738"/>
      <c r="E1022" s="739"/>
      <c r="F1022" s="740"/>
      <c r="G1022" s="741"/>
      <c r="H1022" s="741"/>
      <c r="I1022" s="742"/>
      <c r="J1022" s="742"/>
      <c r="K1022" s="742"/>
    </row>
    <row r="1023" spans="1:11" s="902" customFormat="1" ht="97.5" customHeight="1">
      <c r="A1023" s="1111" t="s">
        <v>37</v>
      </c>
      <c r="B1023" s="1112"/>
      <c r="C1023" s="983" t="s">
        <v>178</v>
      </c>
      <c r="D1023" s="983" t="s">
        <v>179</v>
      </c>
      <c r="E1023" s="983" t="s">
        <v>1521</v>
      </c>
      <c r="F1023" s="983" t="s">
        <v>14</v>
      </c>
      <c r="G1023" s="983" t="s">
        <v>1515</v>
      </c>
      <c r="H1023" s="983" t="s">
        <v>16</v>
      </c>
      <c r="I1023" s="1108" t="s">
        <v>1490</v>
      </c>
      <c r="J1023" s="1108" t="s">
        <v>2506</v>
      </c>
      <c r="K1023" s="983" t="s">
        <v>200</v>
      </c>
    </row>
    <row r="1024" spans="1:11" s="900" customFormat="1" ht="97.5" customHeight="1">
      <c r="A1024" s="1113"/>
      <c r="B1024" s="1114"/>
      <c r="C1024" s="984"/>
      <c r="D1024" s="984"/>
      <c r="E1024" s="984"/>
      <c r="F1024" s="984"/>
      <c r="G1024" s="984"/>
      <c r="H1024" s="984"/>
      <c r="I1024" s="1108"/>
      <c r="J1024" s="1108"/>
      <c r="K1024" s="984"/>
    </row>
    <row r="1025" spans="1:11" s="900" customFormat="1" ht="97.5" customHeight="1">
      <c r="A1025" s="1109" t="s">
        <v>2174</v>
      </c>
      <c r="B1025" s="1110"/>
      <c r="C1025" s="921"/>
      <c r="D1025" s="921"/>
      <c r="E1025" s="922"/>
      <c r="F1025" s="923"/>
      <c r="G1025" s="924"/>
      <c r="H1025" s="924"/>
      <c r="I1025" s="920">
        <f>I1026+I1034+I1032</f>
        <v>65636.399999999994</v>
      </c>
      <c r="J1025" s="920">
        <f>J1026+J1034+J1032</f>
        <v>43757.599999999999</v>
      </c>
      <c r="K1025" s="920">
        <f>I1025+J1025</f>
        <v>109394</v>
      </c>
    </row>
    <row r="1026" spans="1:11" s="902" customFormat="1" ht="97.5" customHeight="1">
      <c r="A1026" s="1070" t="s">
        <v>1541</v>
      </c>
      <c r="B1026" s="1071"/>
      <c r="C1026" s="925"/>
      <c r="D1026" s="925"/>
      <c r="E1026" s="925"/>
      <c r="F1026" s="931"/>
      <c r="G1026" s="925"/>
      <c r="H1026" s="926"/>
      <c r="I1026" s="871">
        <f>SUM(I1027:I1031)</f>
        <v>56276.4</v>
      </c>
      <c r="J1026" s="871">
        <f>SUM(J1027:J1031)</f>
        <v>37517.599999999999</v>
      </c>
      <c r="K1026" s="871">
        <f>I1026+J1026</f>
        <v>93794</v>
      </c>
    </row>
    <row r="1027" spans="1:11" s="901" customFormat="1" ht="97.5" customHeight="1">
      <c r="A1027" s="1068" t="s">
        <v>2186</v>
      </c>
      <c r="B1027" s="1069"/>
      <c r="C1027" s="928" t="s">
        <v>2175</v>
      </c>
      <c r="D1027" s="928">
        <v>7</v>
      </c>
      <c r="E1027" s="928" t="s">
        <v>2175</v>
      </c>
      <c r="F1027" s="840" t="s">
        <v>2229</v>
      </c>
      <c r="G1027" s="1072">
        <v>8100</v>
      </c>
      <c r="H1027" s="1075" t="s">
        <v>2273</v>
      </c>
      <c r="I1027" s="873">
        <f>K1027/100*60</f>
        <v>4200</v>
      </c>
      <c r="J1027" s="873">
        <f>K1027/100*40</f>
        <v>2800</v>
      </c>
      <c r="K1027" s="873">
        <v>7000</v>
      </c>
    </row>
    <row r="1028" spans="1:11" s="901" customFormat="1" ht="97.5" customHeight="1">
      <c r="A1028" s="1068" t="s">
        <v>2187</v>
      </c>
      <c r="B1028" s="1069"/>
      <c r="C1028" s="928" t="s">
        <v>1621</v>
      </c>
      <c r="D1028" s="928">
        <v>5</v>
      </c>
      <c r="E1028" s="928" t="s">
        <v>2176</v>
      </c>
      <c r="F1028" s="842" t="s">
        <v>2236</v>
      </c>
      <c r="G1028" s="1073"/>
      <c r="H1028" s="1076"/>
      <c r="I1028" s="873">
        <f>K1028/100*60</f>
        <v>17856</v>
      </c>
      <c r="J1028" s="873">
        <f>K1028/100*40</f>
        <v>11904</v>
      </c>
      <c r="K1028" s="873">
        <v>29760</v>
      </c>
    </row>
    <row r="1029" spans="1:11" s="901" customFormat="1" ht="97.5" customHeight="1">
      <c r="A1029" s="1068" t="s">
        <v>2188</v>
      </c>
      <c r="B1029" s="1069"/>
      <c r="C1029" s="928" t="s">
        <v>2177</v>
      </c>
      <c r="D1029" s="928">
        <v>3</v>
      </c>
      <c r="E1029" s="928" t="s">
        <v>2178</v>
      </c>
      <c r="F1029" s="840" t="s">
        <v>2230</v>
      </c>
      <c r="G1029" s="1073"/>
      <c r="H1029" s="1076"/>
      <c r="I1029" s="873">
        <f>K1029/100*60</f>
        <v>16142.400000000001</v>
      </c>
      <c r="J1029" s="873">
        <f>K1029/100*40</f>
        <v>10761.6</v>
      </c>
      <c r="K1029" s="873">
        <v>26904</v>
      </c>
    </row>
    <row r="1030" spans="1:11" s="901" customFormat="1" ht="97.5" customHeight="1">
      <c r="A1030" s="1068" t="s">
        <v>1840</v>
      </c>
      <c r="B1030" s="1069"/>
      <c r="C1030" s="928" t="s">
        <v>2179</v>
      </c>
      <c r="D1030" s="928">
        <v>10</v>
      </c>
      <c r="E1030" s="928" t="s">
        <v>2180</v>
      </c>
      <c r="F1030" s="1044" t="s">
        <v>2231</v>
      </c>
      <c r="G1030" s="1073"/>
      <c r="H1030" s="1076"/>
      <c r="I1030" s="873">
        <f>K1030/100*60</f>
        <v>9078</v>
      </c>
      <c r="J1030" s="873">
        <f>K1030/100*40</f>
        <v>6052</v>
      </c>
      <c r="K1030" s="873">
        <v>15130</v>
      </c>
    </row>
    <row r="1031" spans="1:11" s="901" customFormat="1" ht="97.5" customHeight="1">
      <c r="A1031" s="1068" t="s">
        <v>2189</v>
      </c>
      <c r="B1031" s="1069"/>
      <c r="C1031" s="928" t="s">
        <v>2181</v>
      </c>
      <c r="D1031" s="928">
        <v>45</v>
      </c>
      <c r="E1031" s="928" t="s">
        <v>2182</v>
      </c>
      <c r="F1031" s="1046"/>
      <c r="G1031" s="1073"/>
      <c r="H1031" s="1076"/>
      <c r="I1031" s="873">
        <f>K1031/100*60</f>
        <v>9000</v>
      </c>
      <c r="J1031" s="873">
        <f>K1031/100*40</f>
        <v>6000</v>
      </c>
      <c r="K1031" s="873">
        <v>15000</v>
      </c>
    </row>
    <row r="1032" spans="1:11" s="902" customFormat="1" ht="97.5" customHeight="1">
      <c r="A1032" s="1070" t="s">
        <v>278</v>
      </c>
      <c r="B1032" s="1071"/>
      <c r="C1032" s="925"/>
      <c r="D1032" s="925"/>
      <c r="E1032" s="925"/>
      <c r="F1032" s="931"/>
      <c r="G1032" s="925"/>
      <c r="H1032" s="926"/>
      <c r="I1032" s="871">
        <f>SUM(I1033)</f>
        <v>3960</v>
      </c>
      <c r="J1032" s="871">
        <f>SUM(J1033)</f>
        <v>2640</v>
      </c>
      <c r="K1032" s="871">
        <f>I1032+J1032</f>
        <v>6600</v>
      </c>
    </row>
    <row r="1033" spans="1:11" s="901" customFormat="1" ht="97.5" customHeight="1">
      <c r="A1033" s="1068" t="s">
        <v>2533</v>
      </c>
      <c r="B1033" s="1069"/>
      <c r="C1033" s="928" t="s">
        <v>1215</v>
      </c>
      <c r="D1033" s="928">
        <v>5</v>
      </c>
      <c r="E1033" s="945" t="s">
        <v>2183</v>
      </c>
      <c r="F1033" s="842" t="s">
        <v>2234</v>
      </c>
      <c r="G1033" s="929">
        <v>8100</v>
      </c>
      <c r="H1033" s="932" t="s">
        <v>2445</v>
      </c>
      <c r="I1033" s="873">
        <f>K1033/100*60</f>
        <v>3960</v>
      </c>
      <c r="J1033" s="873">
        <f>K1033/100*40</f>
        <v>2640</v>
      </c>
      <c r="K1033" s="873">
        <v>6600</v>
      </c>
    </row>
    <row r="1034" spans="1:11" s="902" customFormat="1" ht="97.5" customHeight="1">
      <c r="A1034" s="1070" t="s">
        <v>312</v>
      </c>
      <c r="B1034" s="1071"/>
      <c r="C1034" s="925"/>
      <c r="D1034" s="925"/>
      <c r="E1034" s="925"/>
      <c r="F1034" s="931"/>
      <c r="G1034" s="925"/>
      <c r="H1034" s="926"/>
      <c r="I1034" s="871">
        <f>SUM(I1035:I1035)</f>
        <v>5400</v>
      </c>
      <c r="J1034" s="871">
        <f>SUM(J1035:J1035)</f>
        <v>3600</v>
      </c>
      <c r="K1034" s="871">
        <f>I1034+J1034</f>
        <v>9000</v>
      </c>
    </row>
    <row r="1035" spans="1:11" s="901" customFormat="1" ht="97.5" customHeight="1">
      <c r="A1035" s="1068" t="s">
        <v>2190</v>
      </c>
      <c r="B1035" s="1069"/>
      <c r="C1035" s="928" t="s">
        <v>2184</v>
      </c>
      <c r="D1035" s="928">
        <v>2</v>
      </c>
      <c r="E1035" s="928" t="s">
        <v>2185</v>
      </c>
      <c r="F1035" s="842" t="s">
        <v>2224</v>
      </c>
      <c r="G1035" s="956">
        <v>8100</v>
      </c>
      <c r="H1035" s="930" t="s">
        <v>2273</v>
      </c>
      <c r="I1035" s="873">
        <f>K1035/100*60</f>
        <v>5400</v>
      </c>
      <c r="J1035" s="873">
        <f>K1035/100*40</f>
        <v>3600</v>
      </c>
      <c r="K1035" s="873">
        <v>9000</v>
      </c>
    </row>
    <row r="1036" spans="1:11" s="902" customFormat="1" ht="97.5" customHeight="1">
      <c r="A1036" s="1066" t="s">
        <v>2455</v>
      </c>
      <c r="B1036" s="1066"/>
      <c r="C1036" s="1066"/>
      <c r="D1036" s="1066"/>
      <c r="E1036" s="1066"/>
      <c r="F1036" s="1066"/>
      <c r="G1036" s="1066"/>
      <c r="H1036" s="1066"/>
      <c r="I1036" s="1066"/>
      <c r="J1036" s="1066"/>
      <c r="K1036" s="1066"/>
    </row>
    <row r="1037" spans="1:11" ht="36.75" customHeight="1">
      <c r="A1037" s="853"/>
      <c r="B1037" s="853"/>
      <c r="C1037" s="853"/>
      <c r="D1037" s="853"/>
      <c r="E1037" s="853"/>
      <c r="F1037" s="853"/>
      <c r="G1037" s="853"/>
      <c r="H1037" s="853"/>
      <c r="I1037" s="853"/>
      <c r="J1037" s="853"/>
      <c r="K1037" s="853"/>
    </row>
    <row r="1038" spans="1:11" ht="45">
      <c r="A1038" s="979" t="s">
        <v>2493</v>
      </c>
      <c r="B1038" s="979"/>
      <c r="C1038" s="979"/>
      <c r="D1038" s="979"/>
      <c r="E1038" s="979"/>
      <c r="F1038" s="979"/>
      <c r="G1038" s="979"/>
      <c r="H1038" s="979"/>
      <c r="I1038" s="979"/>
      <c r="J1038" s="979"/>
      <c r="K1038" s="979"/>
    </row>
    <row r="1039" spans="1:11" ht="45">
      <c r="A1039" s="979" t="s">
        <v>52</v>
      </c>
      <c r="B1039" s="979"/>
      <c r="C1039" s="979"/>
      <c r="D1039" s="979"/>
      <c r="E1039" s="979"/>
      <c r="F1039" s="979"/>
      <c r="G1039" s="979"/>
      <c r="H1039" s="979"/>
      <c r="I1039" s="979"/>
      <c r="J1039" s="979"/>
      <c r="K1039" s="979"/>
    </row>
    <row r="1040" spans="1:11" ht="45">
      <c r="A1040" s="1040" t="s">
        <v>50</v>
      </c>
      <c r="B1040" s="1040"/>
      <c r="C1040" s="1040"/>
      <c r="D1040" s="1040"/>
      <c r="E1040" s="1040"/>
      <c r="F1040" s="1040"/>
      <c r="G1040" s="1040"/>
      <c r="H1040" s="1040"/>
      <c r="I1040" s="1040"/>
      <c r="J1040" s="1040"/>
      <c r="K1040" s="1040"/>
    </row>
    <row r="1041" spans="1:11" ht="44.25">
      <c r="A1041" s="736"/>
      <c r="B1041" s="736"/>
      <c r="C1041" s="736"/>
      <c r="D1041" s="736"/>
      <c r="E1041" s="736"/>
      <c r="F1041" s="736"/>
      <c r="G1041" s="843"/>
      <c r="H1041" s="843"/>
      <c r="I1041" s="843"/>
      <c r="J1041" s="843"/>
      <c r="K1041" s="843"/>
    </row>
    <row r="1042" spans="1:11" ht="45">
      <c r="A1042" s="979" t="s">
        <v>1489</v>
      </c>
      <c r="B1042" s="979"/>
      <c r="C1042" s="979"/>
      <c r="D1042" s="979"/>
      <c r="E1042" s="979"/>
      <c r="F1042" s="979"/>
      <c r="G1042" s="979"/>
      <c r="H1042" s="979"/>
      <c r="I1042" s="979"/>
      <c r="J1042" s="979"/>
      <c r="K1042" s="979"/>
    </row>
    <row r="1043" spans="1:11" s="620" customFormat="1" ht="33">
      <c r="A1043" s="65"/>
      <c r="B1043" s="65"/>
      <c r="C1043" s="65"/>
      <c r="D1043" s="65"/>
      <c r="E1043" s="65"/>
      <c r="F1043" s="65"/>
      <c r="G1043" s="68"/>
      <c r="H1043" s="68"/>
      <c r="I1043" s="68"/>
      <c r="J1043" s="68"/>
      <c r="K1043" s="68"/>
    </row>
    <row r="1044" spans="1:11" ht="20.100000000000001" customHeight="1">
      <c r="A1044" s="65"/>
      <c r="B1044" s="65"/>
      <c r="C1044" s="65"/>
      <c r="D1044" s="65"/>
      <c r="E1044" s="65"/>
      <c r="F1044" s="65"/>
      <c r="G1044" s="68"/>
      <c r="H1044" s="68"/>
      <c r="I1044" s="68"/>
      <c r="J1044" s="68"/>
      <c r="K1044" s="68"/>
    </row>
    <row r="1045" spans="1:11" ht="20.100000000000001" customHeight="1">
      <c r="A1045" s="979"/>
      <c r="B1045" s="979"/>
      <c r="C1045" s="979"/>
      <c r="D1045" s="979"/>
      <c r="E1045" s="979"/>
      <c r="F1045" s="979"/>
      <c r="G1045" s="979"/>
      <c r="H1045" s="979"/>
      <c r="I1045" s="979"/>
      <c r="J1045" s="979"/>
      <c r="K1045" s="979"/>
    </row>
    <row r="1046" spans="1:11" ht="45.75" customHeight="1">
      <c r="A1046" s="1030" t="s">
        <v>1383</v>
      </c>
      <c r="B1046" s="1030"/>
      <c r="C1046" s="1030"/>
      <c r="D1046" s="1030"/>
      <c r="E1046" s="1030"/>
      <c r="F1046" s="1030"/>
      <c r="G1046" s="1030"/>
      <c r="H1046" s="1030"/>
      <c r="I1046" s="1030"/>
      <c r="J1046" s="1030"/>
      <c r="K1046" s="1030"/>
    </row>
    <row r="1047" spans="1:11" s="902" customFormat="1" ht="97.5" customHeight="1">
      <c r="A1047" s="1111" t="s">
        <v>37</v>
      </c>
      <c r="B1047" s="1112"/>
      <c r="C1047" s="983" t="s">
        <v>178</v>
      </c>
      <c r="D1047" s="983" t="s">
        <v>179</v>
      </c>
      <c r="E1047" s="983" t="s">
        <v>1521</v>
      </c>
      <c r="F1047" s="983" t="s">
        <v>14</v>
      </c>
      <c r="G1047" s="983" t="s">
        <v>1515</v>
      </c>
      <c r="H1047" s="983" t="s">
        <v>16</v>
      </c>
      <c r="I1047" s="1108" t="s">
        <v>1490</v>
      </c>
      <c r="J1047" s="1108" t="s">
        <v>2506</v>
      </c>
      <c r="K1047" s="983" t="s">
        <v>200</v>
      </c>
    </row>
    <row r="1048" spans="1:11" s="900" customFormat="1" ht="97.5" customHeight="1">
      <c r="A1048" s="1113"/>
      <c r="B1048" s="1114"/>
      <c r="C1048" s="984"/>
      <c r="D1048" s="984"/>
      <c r="E1048" s="984"/>
      <c r="F1048" s="984"/>
      <c r="G1048" s="984"/>
      <c r="H1048" s="984"/>
      <c r="I1048" s="1108"/>
      <c r="J1048" s="1108"/>
      <c r="K1048" s="984"/>
    </row>
    <row r="1049" spans="1:11" s="900" customFormat="1" ht="97.5" customHeight="1">
      <c r="A1049" s="1109" t="s">
        <v>2003</v>
      </c>
      <c r="B1049" s="1110"/>
      <c r="C1049" s="921"/>
      <c r="D1049" s="921"/>
      <c r="E1049" s="922"/>
      <c r="F1049" s="923"/>
      <c r="G1049" s="924"/>
      <c r="H1049" s="924"/>
      <c r="I1049" s="920">
        <f>I1053+I1062+I1050+I1060</f>
        <v>215945.4</v>
      </c>
      <c r="J1049" s="920">
        <f>J1053+J1062+J1050+J1060</f>
        <v>143963.6</v>
      </c>
      <c r="K1049" s="920">
        <f>I1049+J1049</f>
        <v>359909</v>
      </c>
    </row>
    <row r="1050" spans="1:11" s="927" customFormat="1" ht="97.5" customHeight="1">
      <c r="A1050" s="1070" t="s">
        <v>2251</v>
      </c>
      <c r="B1050" s="1115"/>
      <c r="C1050" s="1115"/>
      <c r="D1050" s="1115"/>
      <c r="E1050" s="1115"/>
      <c r="F1050" s="1071"/>
      <c r="G1050" s="925"/>
      <c r="H1050" s="926"/>
      <c r="I1050" s="871">
        <f>SUM(I1051:I1052)</f>
        <v>35784</v>
      </c>
      <c r="J1050" s="871">
        <f>SUM(J1051:J1052)</f>
        <v>23856</v>
      </c>
      <c r="K1050" s="871">
        <f>I1050+J1050</f>
        <v>59640</v>
      </c>
    </row>
    <row r="1051" spans="1:11" s="901" customFormat="1" ht="97.5" customHeight="1">
      <c r="A1051" s="1068" t="s">
        <v>2005</v>
      </c>
      <c r="B1051" s="1069"/>
      <c r="C1051" s="928" t="s">
        <v>147</v>
      </c>
      <c r="D1051" s="928">
        <v>160</v>
      </c>
      <c r="E1051" s="928" t="s">
        <v>2014</v>
      </c>
      <c r="F1051" s="840" t="s">
        <v>2269</v>
      </c>
      <c r="G1051" s="1072">
        <v>8100</v>
      </c>
      <c r="H1051" s="1075" t="s">
        <v>2273</v>
      </c>
      <c r="I1051" s="873">
        <f>K1051/100*60</f>
        <v>24378</v>
      </c>
      <c r="J1051" s="873">
        <f>K1051/100*40</f>
        <v>16252</v>
      </c>
      <c r="K1051" s="873">
        <v>40630</v>
      </c>
    </row>
    <row r="1052" spans="1:11" s="901" customFormat="1" ht="97.5" customHeight="1">
      <c r="A1052" s="1068" t="s">
        <v>2006</v>
      </c>
      <c r="B1052" s="1069"/>
      <c r="C1052" s="928" t="s">
        <v>147</v>
      </c>
      <c r="D1052" s="928">
        <v>40</v>
      </c>
      <c r="E1052" s="928" t="s">
        <v>2014</v>
      </c>
      <c r="F1052" s="840" t="s">
        <v>2270</v>
      </c>
      <c r="G1052" s="1073"/>
      <c r="H1052" s="1076"/>
      <c r="I1052" s="873">
        <f>K1052/100*60</f>
        <v>11406</v>
      </c>
      <c r="J1052" s="873">
        <f>K1052/100*40</f>
        <v>7604</v>
      </c>
      <c r="K1052" s="873">
        <v>19010</v>
      </c>
    </row>
    <row r="1053" spans="1:11" s="902" customFormat="1" ht="97.5" customHeight="1">
      <c r="A1053" s="1070" t="s">
        <v>1541</v>
      </c>
      <c r="B1053" s="1071"/>
      <c r="C1053" s="925"/>
      <c r="D1053" s="925"/>
      <c r="E1053" s="925"/>
      <c r="F1053" s="931"/>
      <c r="G1053" s="925"/>
      <c r="H1053" s="926"/>
      <c r="I1053" s="871">
        <f>SUM(I1054:I1059)</f>
        <v>143924.4</v>
      </c>
      <c r="J1053" s="871">
        <f>SUM(J1054:J1059)</f>
        <v>95949.6</v>
      </c>
      <c r="K1053" s="871">
        <f>I1053+J1053</f>
        <v>239874</v>
      </c>
    </row>
    <row r="1054" spans="1:11" s="901" customFormat="1" ht="97.5" customHeight="1">
      <c r="A1054" s="1068" t="s">
        <v>2007</v>
      </c>
      <c r="B1054" s="1069"/>
      <c r="C1054" s="928" t="s">
        <v>2015</v>
      </c>
      <c r="D1054" s="928">
        <v>4</v>
      </c>
      <c r="E1054" s="928" t="s">
        <v>2022</v>
      </c>
      <c r="F1054" s="1044" t="s">
        <v>2229</v>
      </c>
      <c r="G1054" s="1072">
        <v>8100</v>
      </c>
      <c r="H1054" s="1075" t="s">
        <v>2273</v>
      </c>
      <c r="I1054" s="873">
        <f t="shared" ref="I1054:I1059" si="39">K1054/100*60</f>
        <v>12000</v>
      </c>
      <c r="J1054" s="873">
        <f t="shared" ref="J1054:J1059" si="40">K1054/100*40</f>
        <v>8000</v>
      </c>
      <c r="K1054" s="873">
        <v>20000</v>
      </c>
    </row>
    <row r="1055" spans="1:11" s="901" customFormat="1" ht="97.5" customHeight="1">
      <c r="A1055" s="1068" t="s">
        <v>2008</v>
      </c>
      <c r="B1055" s="1069"/>
      <c r="C1055" s="928" t="s">
        <v>2016</v>
      </c>
      <c r="D1055" s="928">
        <v>10</v>
      </c>
      <c r="E1055" s="928" t="s">
        <v>2023</v>
      </c>
      <c r="F1055" s="1045"/>
      <c r="G1055" s="1073"/>
      <c r="H1055" s="1076"/>
      <c r="I1055" s="873">
        <f t="shared" si="39"/>
        <v>1724.3999999999999</v>
      </c>
      <c r="J1055" s="873">
        <f t="shared" si="40"/>
        <v>1149.5999999999999</v>
      </c>
      <c r="K1055" s="873">
        <v>2874</v>
      </c>
    </row>
    <row r="1056" spans="1:11" s="901" customFormat="1" ht="97.5" customHeight="1">
      <c r="A1056" s="1068" t="s">
        <v>2010</v>
      </c>
      <c r="B1056" s="1069"/>
      <c r="C1056" s="928" t="s">
        <v>2017</v>
      </c>
      <c r="D1056" s="928">
        <v>200</v>
      </c>
      <c r="E1056" s="928" t="s">
        <v>2024</v>
      </c>
      <c r="F1056" s="1046"/>
      <c r="G1056" s="1073"/>
      <c r="H1056" s="1076"/>
      <c r="I1056" s="873">
        <f t="shared" si="39"/>
        <v>28200</v>
      </c>
      <c r="J1056" s="873">
        <f t="shared" si="40"/>
        <v>18800</v>
      </c>
      <c r="K1056" s="873">
        <v>47000</v>
      </c>
    </row>
    <row r="1057" spans="1:11" s="901" customFormat="1" ht="97.5" customHeight="1">
      <c r="A1057" s="1068" t="s">
        <v>2009</v>
      </c>
      <c r="B1057" s="1069"/>
      <c r="C1057" s="928" t="s">
        <v>2018</v>
      </c>
      <c r="D1057" s="928">
        <v>80</v>
      </c>
      <c r="E1057" s="928" t="s">
        <v>2022</v>
      </c>
      <c r="F1057" s="840" t="s">
        <v>2230</v>
      </c>
      <c r="G1057" s="1073"/>
      <c r="H1057" s="1076"/>
      <c r="I1057" s="873">
        <f t="shared" si="39"/>
        <v>42000</v>
      </c>
      <c r="J1057" s="873">
        <f t="shared" si="40"/>
        <v>28000</v>
      </c>
      <c r="K1057" s="873">
        <v>70000</v>
      </c>
    </row>
    <row r="1058" spans="1:11" s="901" customFormat="1" ht="97.5" customHeight="1">
      <c r="A1058" s="1068" t="s">
        <v>2011</v>
      </c>
      <c r="B1058" s="1069"/>
      <c r="C1058" s="928" t="s">
        <v>2019</v>
      </c>
      <c r="D1058" s="928">
        <v>170</v>
      </c>
      <c r="E1058" s="928" t="s">
        <v>2025</v>
      </c>
      <c r="F1058" s="1044" t="s">
        <v>2231</v>
      </c>
      <c r="G1058" s="1073"/>
      <c r="H1058" s="1076"/>
      <c r="I1058" s="873">
        <f t="shared" si="39"/>
        <v>30000</v>
      </c>
      <c r="J1058" s="873">
        <f t="shared" si="40"/>
        <v>20000</v>
      </c>
      <c r="K1058" s="873">
        <v>50000</v>
      </c>
    </row>
    <row r="1059" spans="1:11" s="901" customFormat="1" ht="97.5" customHeight="1">
      <c r="A1059" s="1068" t="s">
        <v>1840</v>
      </c>
      <c r="B1059" s="1069"/>
      <c r="C1059" s="928" t="s">
        <v>2020</v>
      </c>
      <c r="D1059" s="928">
        <v>20</v>
      </c>
      <c r="E1059" s="928" t="s">
        <v>2026</v>
      </c>
      <c r="F1059" s="1046"/>
      <c r="G1059" s="1074"/>
      <c r="H1059" s="1077"/>
      <c r="I1059" s="873">
        <f t="shared" si="39"/>
        <v>30000</v>
      </c>
      <c r="J1059" s="873">
        <f t="shared" si="40"/>
        <v>20000</v>
      </c>
      <c r="K1059" s="873">
        <v>50000</v>
      </c>
    </row>
    <row r="1060" spans="1:11" s="902" customFormat="1" ht="97.5" customHeight="1">
      <c r="A1060" s="1070" t="s">
        <v>278</v>
      </c>
      <c r="B1060" s="1071"/>
      <c r="C1060" s="925"/>
      <c r="D1060" s="925"/>
      <c r="E1060" s="925"/>
      <c r="F1060" s="931"/>
      <c r="G1060" s="925"/>
      <c r="H1060" s="926"/>
      <c r="I1060" s="871">
        <f>SUM(I1061)</f>
        <v>18000</v>
      </c>
      <c r="J1060" s="871">
        <f>SUM(J1061)</f>
        <v>12000</v>
      </c>
      <c r="K1060" s="871">
        <f>I1060+J1060</f>
        <v>30000</v>
      </c>
    </row>
    <row r="1061" spans="1:11" s="901" customFormat="1" ht="97.5" customHeight="1">
      <c r="A1061" s="1068" t="s">
        <v>2004</v>
      </c>
      <c r="B1061" s="1069"/>
      <c r="C1061" s="928" t="s">
        <v>1215</v>
      </c>
      <c r="D1061" s="928">
        <v>30</v>
      </c>
      <c r="E1061" s="945" t="s">
        <v>2027</v>
      </c>
      <c r="F1061" s="842" t="s">
        <v>2234</v>
      </c>
      <c r="G1061" s="929">
        <v>8100</v>
      </c>
      <c r="H1061" s="932" t="s">
        <v>2445</v>
      </c>
      <c r="I1061" s="873">
        <f>K1061/100*60</f>
        <v>18000</v>
      </c>
      <c r="J1061" s="873">
        <f>K1061/100*40</f>
        <v>12000</v>
      </c>
      <c r="K1061" s="873">
        <v>30000</v>
      </c>
    </row>
    <row r="1062" spans="1:11" s="902" customFormat="1" ht="97.5" customHeight="1">
      <c r="A1062" s="1070" t="s">
        <v>312</v>
      </c>
      <c r="B1062" s="1071"/>
      <c r="C1062" s="925"/>
      <c r="D1062" s="925"/>
      <c r="E1062" s="925"/>
      <c r="F1062" s="931"/>
      <c r="G1062" s="925"/>
      <c r="H1062" s="926"/>
      <c r="I1062" s="871">
        <f>SUM(I1063:I1064)</f>
        <v>18237</v>
      </c>
      <c r="J1062" s="871">
        <f>SUM(J1063:J1064)</f>
        <v>12158</v>
      </c>
      <c r="K1062" s="871">
        <f>I1062+J1062</f>
        <v>30395</v>
      </c>
    </row>
    <row r="1063" spans="1:11" s="901" customFormat="1" ht="97.5" customHeight="1">
      <c r="A1063" s="1068" t="s">
        <v>2012</v>
      </c>
      <c r="B1063" s="1069"/>
      <c r="C1063" s="928" t="s">
        <v>2018</v>
      </c>
      <c r="D1063" s="928">
        <v>30</v>
      </c>
      <c r="E1063" s="928" t="s">
        <v>2028</v>
      </c>
      <c r="F1063" s="1044" t="s">
        <v>2224</v>
      </c>
      <c r="G1063" s="1072">
        <v>8100</v>
      </c>
      <c r="H1063" s="1075" t="s">
        <v>2273</v>
      </c>
      <c r="I1063" s="873">
        <f>K1063/100*60</f>
        <v>9000</v>
      </c>
      <c r="J1063" s="873">
        <f>K1063/100*40</f>
        <v>6000</v>
      </c>
      <c r="K1063" s="873">
        <v>15000</v>
      </c>
    </row>
    <row r="1064" spans="1:11" s="901" customFormat="1" ht="97.5" customHeight="1">
      <c r="A1064" s="1068" t="s">
        <v>2013</v>
      </c>
      <c r="B1064" s="1069"/>
      <c r="C1064" s="928" t="s">
        <v>2021</v>
      </c>
      <c r="D1064" s="928">
        <v>10</v>
      </c>
      <c r="E1064" s="928" t="s">
        <v>2029</v>
      </c>
      <c r="F1064" s="1046"/>
      <c r="G1064" s="1074"/>
      <c r="H1064" s="1077"/>
      <c r="I1064" s="873">
        <f>K1064/100*60</f>
        <v>9237</v>
      </c>
      <c r="J1064" s="873">
        <f>K1064/100*40</f>
        <v>6158</v>
      </c>
      <c r="K1064" s="873">
        <v>15395</v>
      </c>
    </row>
    <row r="1065" spans="1:11" s="902" customFormat="1" ht="97.5" customHeight="1">
      <c r="A1065" s="1066" t="s">
        <v>2455</v>
      </c>
      <c r="B1065" s="1066"/>
      <c r="C1065" s="1066"/>
      <c r="D1065" s="1066"/>
      <c r="E1065" s="1066"/>
      <c r="F1065" s="1066"/>
      <c r="G1065" s="1066"/>
      <c r="H1065" s="1066"/>
      <c r="I1065" s="1066"/>
      <c r="J1065" s="1066"/>
      <c r="K1065" s="1066"/>
    </row>
    <row r="1066" spans="1:11" ht="36.75" customHeight="1">
      <c r="A1066" s="753"/>
      <c r="B1066" s="753"/>
      <c r="C1066" s="753"/>
      <c r="D1066" s="753"/>
      <c r="E1066" s="753"/>
      <c r="F1066" s="753"/>
      <c r="G1066" s="753"/>
      <c r="H1066" s="753"/>
      <c r="I1066" s="753"/>
      <c r="J1066" s="753"/>
      <c r="K1066" s="753"/>
    </row>
    <row r="1067" spans="1:11" ht="45">
      <c r="A1067" s="979" t="s">
        <v>2493</v>
      </c>
      <c r="B1067" s="979"/>
      <c r="C1067" s="979"/>
      <c r="D1067" s="979"/>
      <c r="E1067" s="979"/>
      <c r="F1067" s="979"/>
      <c r="G1067" s="979"/>
      <c r="H1067" s="979"/>
      <c r="I1067" s="979"/>
      <c r="J1067" s="979"/>
      <c r="K1067" s="979"/>
    </row>
    <row r="1068" spans="1:11" ht="45">
      <c r="A1068" s="979" t="s">
        <v>52</v>
      </c>
      <c r="B1068" s="979"/>
      <c r="C1068" s="979"/>
      <c r="D1068" s="979"/>
      <c r="E1068" s="979"/>
      <c r="F1068" s="979"/>
      <c r="G1068" s="979"/>
      <c r="H1068" s="979"/>
      <c r="I1068" s="979"/>
      <c r="J1068" s="979"/>
      <c r="K1068" s="979"/>
    </row>
    <row r="1069" spans="1:11" ht="45">
      <c r="A1069" s="1040" t="s">
        <v>50</v>
      </c>
      <c r="B1069" s="1040"/>
      <c r="C1069" s="1040"/>
      <c r="D1069" s="1040"/>
      <c r="E1069" s="1040"/>
      <c r="F1069" s="1040"/>
      <c r="G1069" s="1040"/>
      <c r="H1069" s="1040"/>
      <c r="I1069" s="1040"/>
      <c r="J1069" s="1040"/>
      <c r="K1069" s="1040"/>
    </row>
    <row r="1070" spans="1:11" ht="44.25">
      <c r="A1070" s="736"/>
      <c r="B1070" s="736"/>
      <c r="C1070" s="736"/>
      <c r="D1070" s="736"/>
      <c r="E1070" s="736"/>
      <c r="F1070" s="736"/>
      <c r="G1070" s="838"/>
      <c r="H1070" s="838"/>
      <c r="I1070" s="838"/>
      <c r="J1070" s="838"/>
      <c r="K1070" s="838"/>
    </row>
    <row r="1071" spans="1:11" ht="45">
      <c r="A1071" s="979" t="s">
        <v>1489</v>
      </c>
      <c r="B1071" s="979"/>
      <c r="C1071" s="979"/>
      <c r="D1071" s="979"/>
      <c r="E1071" s="979"/>
      <c r="F1071" s="979"/>
      <c r="G1071" s="979"/>
      <c r="H1071" s="979"/>
      <c r="I1071" s="979"/>
      <c r="J1071" s="979"/>
      <c r="K1071" s="979"/>
    </row>
    <row r="1072" spans="1:11" s="620" customFormat="1" ht="33">
      <c r="A1072" s="65"/>
      <c r="B1072" s="65"/>
      <c r="C1072" s="65"/>
      <c r="D1072" s="65"/>
      <c r="E1072" s="65"/>
      <c r="F1072" s="65"/>
      <c r="G1072" s="68"/>
      <c r="H1072" s="68"/>
      <c r="I1072" s="68"/>
      <c r="J1072" s="68"/>
      <c r="K1072" s="68"/>
    </row>
    <row r="1073" spans="1:11" ht="20.100000000000001" customHeight="1">
      <c r="A1073" s="65"/>
      <c r="B1073" s="65"/>
      <c r="C1073" s="65"/>
      <c r="D1073" s="65"/>
      <c r="E1073" s="65"/>
      <c r="F1073" s="65"/>
      <c r="G1073" s="68"/>
      <c r="H1073" s="68"/>
      <c r="I1073" s="68"/>
      <c r="J1073" s="68"/>
      <c r="K1073" s="68"/>
    </row>
    <row r="1074" spans="1:11" ht="20.100000000000001" customHeight="1">
      <c r="A1074" s="979"/>
      <c r="B1074" s="979"/>
      <c r="C1074" s="979"/>
      <c r="D1074" s="979"/>
      <c r="E1074" s="979"/>
      <c r="F1074" s="979"/>
      <c r="G1074" s="979"/>
      <c r="H1074" s="979"/>
      <c r="I1074" s="979"/>
      <c r="J1074" s="979"/>
      <c r="K1074" s="979"/>
    </row>
    <row r="1075" spans="1:11" ht="45.75" customHeight="1">
      <c r="A1075" s="1030" t="s">
        <v>1383</v>
      </c>
      <c r="B1075" s="1030"/>
      <c r="C1075" s="1030"/>
      <c r="D1075" s="1030"/>
      <c r="E1075" s="1030"/>
      <c r="F1075" s="1030"/>
      <c r="G1075" s="1030"/>
      <c r="H1075" s="1030"/>
      <c r="I1075" s="1030"/>
      <c r="J1075" s="1030"/>
      <c r="K1075" s="1030"/>
    </row>
    <row r="1076" spans="1:11" s="902" customFormat="1" ht="99.75" customHeight="1">
      <c r="A1076" s="1111" t="s">
        <v>37</v>
      </c>
      <c r="B1076" s="1112"/>
      <c r="C1076" s="983" t="s">
        <v>178</v>
      </c>
      <c r="D1076" s="983" t="s">
        <v>179</v>
      </c>
      <c r="E1076" s="983" t="s">
        <v>1521</v>
      </c>
      <c r="F1076" s="983" t="s">
        <v>14</v>
      </c>
      <c r="G1076" s="983" t="s">
        <v>1515</v>
      </c>
      <c r="H1076" s="983" t="s">
        <v>16</v>
      </c>
      <c r="I1076" s="1108" t="s">
        <v>1490</v>
      </c>
      <c r="J1076" s="1108" t="s">
        <v>2506</v>
      </c>
      <c r="K1076" s="983" t="s">
        <v>200</v>
      </c>
    </row>
    <row r="1077" spans="1:11" s="900" customFormat="1" ht="99.75" customHeight="1">
      <c r="A1077" s="1113"/>
      <c r="B1077" s="1114"/>
      <c r="C1077" s="984"/>
      <c r="D1077" s="984"/>
      <c r="E1077" s="984"/>
      <c r="F1077" s="984"/>
      <c r="G1077" s="984"/>
      <c r="H1077" s="984"/>
      <c r="I1077" s="1108"/>
      <c r="J1077" s="1108"/>
      <c r="K1077" s="984"/>
    </row>
    <row r="1078" spans="1:11" s="900" customFormat="1" ht="99.75" customHeight="1">
      <c r="A1078" s="1109" t="s">
        <v>2082</v>
      </c>
      <c r="B1078" s="1110"/>
      <c r="C1078" s="921"/>
      <c r="D1078" s="921"/>
      <c r="E1078" s="922"/>
      <c r="F1078" s="923"/>
      <c r="G1078" s="924"/>
      <c r="H1078" s="924"/>
      <c r="I1078" s="920">
        <f>I1083+I1092+I1079+I1090</f>
        <v>280201.8</v>
      </c>
      <c r="J1078" s="920">
        <f>J1083+J1092+J1079+J1090</f>
        <v>186801.2</v>
      </c>
      <c r="K1078" s="920">
        <f>I1078+J1078</f>
        <v>467003</v>
      </c>
    </row>
    <row r="1079" spans="1:11" s="927" customFormat="1" ht="99.75" customHeight="1">
      <c r="A1079" s="1070" t="s">
        <v>2251</v>
      </c>
      <c r="B1079" s="1115"/>
      <c r="C1079" s="1115"/>
      <c r="D1079" s="1115"/>
      <c r="E1079" s="1115"/>
      <c r="F1079" s="1071"/>
      <c r="G1079" s="925"/>
      <c r="H1079" s="926"/>
      <c r="I1079" s="871">
        <f>SUM(I1080:I1082)</f>
        <v>103200</v>
      </c>
      <c r="J1079" s="871">
        <f>SUM(J1080:J1082)</f>
        <v>68800</v>
      </c>
      <c r="K1079" s="871">
        <f>I1079+J1079</f>
        <v>172000</v>
      </c>
    </row>
    <row r="1080" spans="1:11" s="901" customFormat="1" ht="99.75" customHeight="1">
      <c r="A1080" s="1068" t="s">
        <v>2098</v>
      </c>
      <c r="B1080" s="1069"/>
      <c r="C1080" s="928" t="s">
        <v>147</v>
      </c>
      <c r="D1080" s="928">
        <v>80</v>
      </c>
      <c r="E1080" s="928" t="s">
        <v>2101</v>
      </c>
      <c r="F1080" s="840" t="s">
        <v>2271</v>
      </c>
      <c r="G1080" s="1072">
        <v>8100</v>
      </c>
      <c r="H1080" s="1075" t="s">
        <v>2273</v>
      </c>
      <c r="I1080" s="873">
        <f>K1080/100*60</f>
        <v>24600</v>
      </c>
      <c r="J1080" s="873">
        <f>K1080/100*40</f>
        <v>16400</v>
      </c>
      <c r="K1080" s="873">
        <v>41000</v>
      </c>
    </row>
    <row r="1081" spans="1:11" s="901" customFormat="1" ht="99.75" customHeight="1">
      <c r="A1081" s="1068" t="s">
        <v>2099</v>
      </c>
      <c r="B1081" s="1069"/>
      <c r="C1081" s="928" t="s">
        <v>147</v>
      </c>
      <c r="D1081" s="928">
        <v>80</v>
      </c>
      <c r="E1081" s="928" t="s">
        <v>2101</v>
      </c>
      <c r="F1081" s="840" t="s">
        <v>2272</v>
      </c>
      <c r="G1081" s="1073"/>
      <c r="H1081" s="1076"/>
      <c r="I1081" s="873">
        <f>K1081/100*60</f>
        <v>24600</v>
      </c>
      <c r="J1081" s="873">
        <f>K1081/100*40</f>
        <v>16400</v>
      </c>
      <c r="K1081" s="873">
        <v>41000</v>
      </c>
    </row>
    <row r="1082" spans="1:11" s="901" customFormat="1" ht="99.75" customHeight="1">
      <c r="A1082" s="1068" t="s">
        <v>2100</v>
      </c>
      <c r="B1082" s="1069"/>
      <c r="C1082" s="928" t="s">
        <v>147</v>
      </c>
      <c r="D1082" s="928">
        <v>150</v>
      </c>
      <c r="E1082" s="928" t="s">
        <v>2101</v>
      </c>
      <c r="F1082" s="840" t="s">
        <v>2276</v>
      </c>
      <c r="G1082" s="1073"/>
      <c r="H1082" s="1076"/>
      <c r="I1082" s="873">
        <f>K1082/100*60</f>
        <v>54000</v>
      </c>
      <c r="J1082" s="873">
        <f>K1082/100*40</f>
        <v>36000</v>
      </c>
      <c r="K1082" s="873">
        <v>90000</v>
      </c>
    </row>
    <row r="1083" spans="1:11" s="902" customFormat="1" ht="99.75" customHeight="1">
      <c r="A1083" s="1070" t="s">
        <v>1541</v>
      </c>
      <c r="B1083" s="1071"/>
      <c r="C1083" s="925"/>
      <c r="D1083" s="925"/>
      <c r="E1083" s="925"/>
      <c r="F1083" s="931"/>
      <c r="G1083" s="925"/>
      <c r="H1083" s="926"/>
      <c r="I1083" s="871">
        <f>SUM(I1084:I1089)</f>
        <v>153001.79999999999</v>
      </c>
      <c r="J1083" s="871">
        <f>SUM(J1084:J1089)</f>
        <v>102001.2</v>
      </c>
      <c r="K1083" s="871">
        <f>I1083+J1083</f>
        <v>255003</v>
      </c>
    </row>
    <row r="1084" spans="1:11" s="901" customFormat="1" ht="99.75" customHeight="1">
      <c r="A1084" s="1068" t="s">
        <v>2112</v>
      </c>
      <c r="B1084" s="1069"/>
      <c r="C1084" s="928" t="s">
        <v>2103</v>
      </c>
      <c r="D1084" s="928">
        <v>5</v>
      </c>
      <c r="E1084" s="928" t="s">
        <v>2104</v>
      </c>
      <c r="F1084" s="1044" t="s">
        <v>2229</v>
      </c>
      <c r="G1084" s="1072">
        <v>8100</v>
      </c>
      <c r="H1084" s="1075" t="s">
        <v>2273</v>
      </c>
      <c r="I1084" s="873">
        <f t="shared" ref="I1084:I1089" si="41">K1084/100*60</f>
        <v>33000</v>
      </c>
      <c r="J1084" s="873">
        <f t="shared" ref="J1084:J1089" si="42">K1084/100*40</f>
        <v>22000</v>
      </c>
      <c r="K1084" s="873">
        <v>55000</v>
      </c>
    </row>
    <row r="1085" spans="1:11" s="901" customFormat="1" ht="99.75" customHeight="1">
      <c r="A1085" s="1068" t="s">
        <v>2113</v>
      </c>
      <c r="B1085" s="1069"/>
      <c r="C1085" s="928" t="s">
        <v>2103</v>
      </c>
      <c r="D1085" s="928">
        <v>20</v>
      </c>
      <c r="E1085" s="928" t="s">
        <v>2104</v>
      </c>
      <c r="F1085" s="1045"/>
      <c r="G1085" s="1073"/>
      <c r="H1085" s="1076"/>
      <c r="I1085" s="873">
        <f t="shared" si="41"/>
        <v>12000</v>
      </c>
      <c r="J1085" s="873">
        <f t="shared" si="42"/>
        <v>8000</v>
      </c>
      <c r="K1085" s="873">
        <v>20000</v>
      </c>
    </row>
    <row r="1086" spans="1:11" s="901" customFormat="1" ht="99.75" customHeight="1">
      <c r="A1086" s="1068" t="s">
        <v>2114</v>
      </c>
      <c r="B1086" s="1069"/>
      <c r="C1086" s="928" t="s">
        <v>1906</v>
      </c>
      <c r="D1086" s="928">
        <v>15</v>
      </c>
      <c r="E1086" s="928" t="s">
        <v>2105</v>
      </c>
      <c r="F1086" s="1046"/>
      <c r="G1086" s="1073"/>
      <c r="H1086" s="1076"/>
      <c r="I1086" s="873">
        <f t="shared" si="41"/>
        <v>33000</v>
      </c>
      <c r="J1086" s="873">
        <f t="shared" si="42"/>
        <v>22000</v>
      </c>
      <c r="K1086" s="873">
        <v>55000</v>
      </c>
    </row>
    <row r="1087" spans="1:11" s="901" customFormat="1" ht="99.75" customHeight="1">
      <c r="A1087" s="1068" t="s">
        <v>1546</v>
      </c>
      <c r="B1087" s="1069"/>
      <c r="C1087" s="928" t="s">
        <v>1677</v>
      </c>
      <c r="D1087" s="928">
        <v>50</v>
      </c>
      <c r="E1087" s="928" t="s">
        <v>2102</v>
      </c>
      <c r="F1087" s="840" t="s">
        <v>2230</v>
      </c>
      <c r="G1087" s="1073"/>
      <c r="H1087" s="1076"/>
      <c r="I1087" s="873">
        <f t="shared" si="41"/>
        <v>51000</v>
      </c>
      <c r="J1087" s="873">
        <f t="shared" si="42"/>
        <v>34000</v>
      </c>
      <c r="K1087" s="873">
        <v>85000</v>
      </c>
    </row>
    <row r="1088" spans="1:11" s="901" customFormat="1" ht="99.75" customHeight="1">
      <c r="A1088" s="1068" t="s">
        <v>1840</v>
      </c>
      <c r="B1088" s="1069"/>
      <c r="C1088" s="928" t="s">
        <v>2106</v>
      </c>
      <c r="D1088" s="928">
        <v>5</v>
      </c>
      <c r="E1088" s="928" t="s">
        <v>2107</v>
      </c>
      <c r="F1088" s="1044" t="s">
        <v>2231</v>
      </c>
      <c r="G1088" s="1073"/>
      <c r="H1088" s="1076"/>
      <c r="I1088" s="873">
        <f t="shared" si="41"/>
        <v>9000</v>
      </c>
      <c r="J1088" s="873">
        <f t="shared" si="42"/>
        <v>6000</v>
      </c>
      <c r="K1088" s="873">
        <v>15000</v>
      </c>
    </row>
    <row r="1089" spans="1:11" s="901" customFormat="1" ht="99.75" customHeight="1">
      <c r="A1089" s="1068" t="s">
        <v>2011</v>
      </c>
      <c r="B1089" s="1069"/>
      <c r="C1089" s="928" t="s">
        <v>2108</v>
      </c>
      <c r="D1089" s="928">
        <v>45</v>
      </c>
      <c r="E1089" s="928" t="s">
        <v>1625</v>
      </c>
      <c r="F1089" s="1046"/>
      <c r="G1089" s="1074"/>
      <c r="H1089" s="1077"/>
      <c r="I1089" s="873">
        <f t="shared" si="41"/>
        <v>15001.8</v>
      </c>
      <c r="J1089" s="873">
        <f t="shared" si="42"/>
        <v>10001.200000000001</v>
      </c>
      <c r="K1089" s="873">
        <v>25003</v>
      </c>
    </row>
    <row r="1090" spans="1:11" s="902" customFormat="1" ht="99.75" customHeight="1">
      <c r="A1090" s="1070" t="s">
        <v>278</v>
      </c>
      <c r="B1090" s="1071"/>
      <c r="C1090" s="925"/>
      <c r="D1090" s="925"/>
      <c r="E1090" s="925"/>
      <c r="F1090" s="931"/>
      <c r="G1090" s="925"/>
      <c r="H1090" s="926"/>
      <c r="I1090" s="871">
        <f>SUM(I1091)</f>
        <v>12000</v>
      </c>
      <c r="J1090" s="871">
        <f>SUM(J1091)</f>
        <v>8000</v>
      </c>
      <c r="K1090" s="871">
        <f>I1090+J1090</f>
        <v>20000</v>
      </c>
    </row>
    <row r="1091" spans="1:11" s="901" customFormat="1" ht="99.75" customHeight="1">
      <c r="A1091" s="1068" t="s">
        <v>2534</v>
      </c>
      <c r="B1091" s="1069"/>
      <c r="C1091" s="928" t="s">
        <v>1215</v>
      </c>
      <c r="D1091" s="928">
        <v>20</v>
      </c>
      <c r="E1091" s="945" t="s">
        <v>2109</v>
      </c>
      <c r="F1091" s="842" t="s">
        <v>2234</v>
      </c>
      <c r="G1091" s="929">
        <v>8100</v>
      </c>
      <c r="H1091" s="932" t="s">
        <v>2445</v>
      </c>
      <c r="I1091" s="873">
        <f>K1091/100*60</f>
        <v>12000</v>
      </c>
      <c r="J1091" s="873">
        <f>K1091/100*40</f>
        <v>8000</v>
      </c>
      <c r="K1091" s="873">
        <v>20000</v>
      </c>
    </row>
    <row r="1092" spans="1:11" s="902" customFormat="1" ht="99.75" customHeight="1">
      <c r="A1092" s="1070" t="s">
        <v>312</v>
      </c>
      <c r="B1092" s="1071"/>
      <c r="C1092" s="925"/>
      <c r="D1092" s="925"/>
      <c r="E1092" s="925"/>
      <c r="F1092" s="931"/>
      <c r="G1092" s="925"/>
      <c r="H1092" s="926"/>
      <c r="I1092" s="871">
        <f>SUM(I1093:I1094)</f>
        <v>12000</v>
      </c>
      <c r="J1092" s="871">
        <f>SUM(J1093:J1094)</f>
        <v>8000</v>
      </c>
      <c r="K1092" s="871">
        <f>I1092+J1092</f>
        <v>20000</v>
      </c>
    </row>
    <row r="1093" spans="1:11" s="901" customFormat="1" ht="99.75" customHeight="1">
      <c r="A1093" s="1068" t="s">
        <v>2115</v>
      </c>
      <c r="B1093" s="1069"/>
      <c r="C1093" s="928" t="s">
        <v>2110</v>
      </c>
      <c r="D1093" s="928">
        <v>80</v>
      </c>
      <c r="E1093" s="928" t="s">
        <v>2111</v>
      </c>
      <c r="F1093" s="1044" t="s">
        <v>2224</v>
      </c>
      <c r="G1093" s="1072">
        <v>8100</v>
      </c>
      <c r="H1093" s="1075" t="s">
        <v>2273</v>
      </c>
      <c r="I1093" s="873">
        <f>K1093/100*60</f>
        <v>6000</v>
      </c>
      <c r="J1093" s="873">
        <f>K1093/100*40</f>
        <v>4000</v>
      </c>
      <c r="K1093" s="873">
        <v>10000</v>
      </c>
    </row>
    <row r="1094" spans="1:11" s="901" customFormat="1" ht="99.75" customHeight="1">
      <c r="A1094" s="1068" t="s">
        <v>1546</v>
      </c>
      <c r="B1094" s="1069"/>
      <c r="C1094" s="928" t="s">
        <v>1677</v>
      </c>
      <c r="D1094" s="928">
        <v>50</v>
      </c>
      <c r="E1094" s="928" t="s">
        <v>2102</v>
      </c>
      <c r="F1094" s="1046"/>
      <c r="G1094" s="1074"/>
      <c r="H1094" s="1077"/>
      <c r="I1094" s="873">
        <f>K1094/100*60</f>
        <v>6000</v>
      </c>
      <c r="J1094" s="873">
        <f>K1094/100*40</f>
        <v>4000</v>
      </c>
      <c r="K1094" s="873">
        <v>10000</v>
      </c>
    </row>
    <row r="1095" spans="1:11" s="951" customFormat="1" ht="99.75" customHeight="1">
      <c r="A1095" s="1125"/>
      <c r="B1095" s="1126"/>
      <c r="C1095" s="947"/>
      <c r="D1095" s="947"/>
      <c r="E1095" s="948"/>
      <c r="F1095" s="949"/>
      <c r="G1095" s="950"/>
      <c r="H1095" s="950"/>
      <c r="I1095" s="742"/>
      <c r="J1095" s="742"/>
      <c r="K1095" s="742"/>
    </row>
    <row r="1096" spans="1:11" s="902" customFormat="1" ht="99.75" customHeight="1">
      <c r="A1096" s="1111" t="s">
        <v>37</v>
      </c>
      <c r="B1096" s="1112"/>
      <c r="C1096" s="983" t="s">
        <v>178</v>
      </c>
      <c r="D1096" s="983" t="s">
        <v>179</v>
      </c>
      <c r="E1096" s="983" t="s">
        <v>1521</v>
      </c>
      <c r="F1096" s="983" t="s">
        <v>14</v>
      </c>
      <c r="G1096" s="983" t="s">
        <v>1515</v>
      </c>
      <c r="H1096" s="983" t="s">
        <v>16</v>
      </c>
      <c r="I1096" s="1108" t="s">
        <v>1490</v>
      </c>
      <c r="J1096" s="1108" t="s">
        <v>2506</v>
      </c>
      <c r="K1096" s="983" t="s">
        <v>200</v>
      </c>
    </row>
    <row r="1097" spans="1:11" s="900" customFormat="1" ht="99.75" customHeight="1">
      <c r="A1097" s="1113"/>
      <c r="B1097" s="1114"/>
      <c r="C1097" s="984"/>
      <c r="D1097" s="984"/>
      <c r="E1097" s="984"/>
      <c r="F1097" s="984"/>
      <c r="G1097" s="984"/>
      <c r="H1097" s="984"/>
      <c r="I1097" s="1108"/>
      <c r="J1097" s="1108"/>
      <c r="K1097" s="984"/>
    </row>
    <row r="1098" spans="1:11" s="900" customFormat="1" ht="99.75" customHeight="1">
      <c r="A1098" s="1109" t="s">
        <v>2073</v>
      </c>
      <c r="B1098" s="1110"/>
      <c r="C1098" s="921"/>
      <c r="D1098" s="921"/>
      <c r="E1098" s="922"/>
      <c r="F1098" s="923"/>
      <c r="G1098" s="924"/>
      <c r="H1098" s="924"/>
      <c r="I1098" s="920">
        <f>I1099+I1110+I1108</f>
        <v>139721.4</v>
      </c>
      <c r="J1098" s="920">
        <f>J1099+J1110+J1108</f>
        <v>93147.6</v>
      </c>
      <c r="K1098" s="920">
        <f>I1098+J1098</f>
        <v>232869</v>
      </c>
    </row>
    <row r="1099" spans="1:11" s="902" customFormat="1" ht="99.75" customHeight="1">
      <c r="A1099" s="1070" t="s">
        <v>1541</v>
      </c>
      <c r="B1099" s="1071"/>
      <c r="C1099" s="925"/>
      <c r="D1099" s="925"/>
      <c r="E1099" s="925"/>
      <c r="F1099" s="931"/>
      <c r="G1099" s="925"/>
      <c r="H1099" s="926"/>
      <c r="I1099" s="871">
        <f>SUM(I1100:I1107)</f>
        <v>123715.20000000001</v>
      </c>
      <c r="J1099" s="871">
        <f>SUM(J1100:J1107)</f>
        <v>82476.800000000003</v>
      </c>
      <c r="K1099" s="871">
        <f>I1099+J1099</f>
        <v>206192</v>
      </c>
    </row>
    <row r="1100" spans="1:11" s="901" customFormat="1" ht="99.75" customHeight="1">
      <c r="A1100" s="1068" t="s">
        <v>2074</v>
      </c>
      <c r="B1100" s="1069"/>
      <c r="C1100" s="928" t="s">
        <v>1846</v>
      </c>
      <c r="D1100" s="946">
        <v>1621</v>
      </c>
      <c r="E1100" s="928" t="s">
        <v>2089</v>
      </c>
      <c r="F1100" s="1044" t="s">
        <v>2229</v>
      </c>
      <c r="G1100" s="1072">
        <v>8100</v>
      </c>
      <c r="H1100" s="1075" t="s">
        <v>2273</v>
      </c>
      <c r="I1100" s="873">
        <f t="shared" ref="I1100:I1107" si="43">K1100/100*60</f>
        <v>19251</v>
      </c>
      <c r="J1100" s="873">
        <f t="shared" ref="J1100:J1107" si="44">K1100/100*40</f>
        <v>12834</v>
      </c>
      <c r="K1100" s="873">
        <v>32085</v>
      </c>
    </row>
    <row r="1101" spans="1:11" s="901" customFormat="1" ht="99.75" customHeight="1">
      <c r="A1101" s="1068" t="s">
        <v>2075</v>
      </c>
      <c r="B1101" s="1069"/>
      <c r="C1101" s="928" t="s">
        <v>2083</v>
      </c>
      <c r="D1101" s="928">
        <v>20</v>
      </c>
      <c r="E1101" s="928" t="s">
        <v>2090</v>
      </c>
      <c r="F1101" s="1045"/>
      <c r="G1101" s="1073"/>
      <c r="H1101" s="1076"/>
      <c r="I1101" s="873">
        <f t="shared" si="43"/>
        <v>6000</v>
      </c>
      <c r="J1101" s="873">
        <f t="shared" si="44"/>
        <v>4000</v>
      </c>
      <c r="K1101" s="873">
        <v>10000</v>
      </c>
    </row>
    <row r="1102" spans="1:11" s="901" customFormat="1" ht="99.75" customHeight="1">
      <c r="A1102" s="1068" t="s">
        <v>2077</v>
      </c>
      <c r="B1102" s="1069"/>
      <c r="C1102" s="928" t="s">
        <v>2084</v>
      </c>
      <c r="D1102" s="928">
        <v>17</v>
      </c>
      <c r="E1102" s="928" t="s">
        <v>2089</v>
      </c>
      <c r="F1102" s="1046"/>
      <c r="G1102" s="1073"/>
      <c r="H1102" s="1076"/>
      <c r="I1102" s="873">
        <f t="shared" si="43"/>
        <v>18720</v>
      </c>
      <c r="J1102" s="873">
        <f t="shared" si="44"/>
        <v>12480</v>
      </c>
      <c r="K1102" s="873">
        <v>31200</v>
      </c>
    </row>
    <row r="1103" spans="1:11" s="901" customFormat="1" ht="99.75" customHeight="1">
      <c r="A1103" s="1068" t="s">
        <v>2076</v>
      </c>
      <c r="B1103" s="1069"/>
      <c r="C1103" s="928" t="s">
        <v>2084</v>
      </c>
      <c r="D1103" s="928">
        <v>17</v>
      </c>
      <c r="E1103" s="928" t="s">
        <v>2091</v>
      </c>
      <c r="F1103" s="1044" t="s">
        <v>2230</v>
      </c>
      <c r="G1103" s="1073"/>
      <c r="H1103" s="1076"/>
      <c r="I1103" s="873">
        <f t="shared" si="43"/>
        <v>27000</v>
      </c>
      <c r="J1103" s="873">
        <f t="shared" si="44"/>
        <v>18000</v>
      </c>
      <c r="K1103" s="873">
        <v>45000</v>
      </c>
    </row>
    <row r="1104" spans="1:11" s="901" customFormat="1" ht="99.75" customHeight="1">
      <c r="A1104" s="1068" t="s">
        <v>2078</v>
      </c>
      <c r="B1104" s="1069"/>
      <c r="C1104" s="928" t="s">
        <v>1846</v>
      </c>
      <c r="D1104" s="946">
        <v>1620</v>
      </c>
      <c r="E1104" s="928" t="s">
        <v>2092</v>
      </c>
      <c r="F1104" s="1046"/>
      <c r="G1104" s="1073"/>
      <c r="H1104" s="1076"/>
      <c r="I1104" s="873">
        <f t="shared" si="43"/>
        <v>6154.8</v>
      </c>
      <c r="J1104" s="873">
        <f t="shared" si="44"/>
        <v>4103.2</v>
      </c>
      <c r="K1104" s="873">
        <v>10258</v>
      </c>
    </row>
    <row r="1105" spans="1:11" s="901" customFormat="1" ht="99.75" customHeight="1">
      <c r="A1105" s="1068" t="s">
        <v>2079</v>
      </c>
      <c r="B1105" s="1069"/>
      <c r="C1105" s="928" t="s">
        <v>2085</v>
      </c>
      <c r="D1105" s="928">
        <v>4</v>
      </c>
      <c r="E1105" s="928" t="s">
        <v>2093</v>
      </c>
      <c r="F1105" s="1044" t="s">
        <v>2231</v>
      </c>
      <c r="G1105" s="1073"/>
      <c r="H1105" s="1076"/>
      <c r="I1105" s="873">
        <f t="shared" si="43"/>
        <v>16800</v>
      </c>
      <c r="J1105" s="873">
        <f t="shared" si="44"/>
        <v>11200</v>
      </c>
      <c r="K1105" s="873">
        <v>28000</v>
      </c>
    </row>
    <row r="1106" spans="1:11" s="901" customFormat="1" ht="99.75" customHeight="1">
      <c r="A1106" s="1068" t="s">
        <v>2080</v>
      </c>
      <c r="B1106" s="1069"/>
      <c r="C1106" s="928" t="s">
        <v>2086</v>
      </c>
      <c r="D1106" s="928">
        <v>121</v>
      </c>
      <c r="E1106" s="928" t="s">
        <v>2094</v>
      </c>
      <c r="F1106" s="1045"/>
      <c r="G1106" s="1073"/>
      <c r="H1106" s="1076"/>
      <c r="I1106" s="873">
        <f t="shared" si="43"/>
        <v>14400</v>
      </c>
      <c r="J1106" s="873">
        <f t="shared" si="44"/>
        <v>9600</v>
      </c>
      <c r="K1106" s="873">
        <v>24000</v>
      </c>
    </row>
    <row r="1107" spans="1:11" s="901" customFormat="1" ht="99.75" customHeight="1">
      <c r="A1107" s="1068" t="s">
        <v>1549</v>
      </c>
      <c r="B1107" s="1069"/>
      <c r="C1107" s="928" t="s">
        <v>2087</v>
      </c>
      <c r="D1107" s="957">
        <v>0.6</v>
      </c>
      <c r="E1107" s="928" t="s">
        <v>2095</v>
      </c>
      <c r="F1107" s="1046"/>
      <c r="G1107" s="1074"/>
      <c r="H1107" s="1077"/>
      <c r="I1107" s="873">
        <f t="shared" si="43"/>
        <v>15389.400000000001</v>
      </c>
      <c r="J1107" s="873">
        <f t="shared" si="44"/>
        <v>10259.6</v>
      </c>
      <c r="K1107" s="873">
        <v>25649</v>
      </c>
    </row>
    <row r="1108" spans="1:11" s="902" customFormat="1" ht="99.75" customHeight="1">
      <c r="A1108" s="1070" t="s">
        <v>278</v>
      </c>
      <c r="B1108" s="1071"/>
      <c r="C1108" s="925"/>
      <c r="D1108" s="925"/>
      <c r="E1108" s="925"/>
      <c r="F1108" s="931"/>
      <c r="G1108" s="925"/>
      <c r="H1108" s="926"/>
      <c r="I1108" s="871">
        <f>SUM(I1109)</f>
        <v>6509.4</v>
      </c>
      <c r="J1108" s="871">
        <f>SUM(J1109)</f>
        <v>4339.5999999999995</v>
      </c>
      <c r="K1108" s="871">
        <f>I1108+J1108</f>
        <v>10849</v>
      </c>
    </row>
    <row r="1109" spans="1:11" s="901" customFormat="1" ht="99.75" customHeight="1">
      <c r="A1109" s="1068" t="s">
        <v>2535</v>
      </c>
      <c r="B1109" s="1069"/>
      <c r="C1109" s="928" t="s">
        <v>1215</v>
      </c>
      <c r="D1109" s="928">
        <v>30</v>
      </c>
      <c r="E1109" s="945" t="s">
        <v>2096</v>
      </c>
      <c r="F1109" s="842" t="s">
        <v>2234</v>
      </c>
      <c r="G1109" s="929">
        <v>8100</v>
      </c>
      <c r="H1109" s="932" t="s">
        <v>2445</v>
      </c>
      <c r="I1109" s="873">
        <f>K1109/100*60</f>
        <v>6509.4</v>
      </c>
      <c r="J1109" s="873">
        <f>K1109/100*40</f>
        <v>4339.5999999999995</v>
      </c>
      <c r="K1109" s="873">
        <v>10849</v>
      </c>
    </row>
    <row r="1110" spans="1:11" s="902" customFormat="1" ht="99.75" customHeight="1">
      <c r="A1110" s="1070" t="s">
        <v>312</v>
      </c>
      <c r="B1110" s="1071"/>
      <c r="C1110" s="925"/>
      <c r="D1110" s="925"/>
      <c r="E1110" s="925"/>
      <c r="F1110" s="931"/>
      <c r="G1110" s="925"/>
      <c r="H1110" s="926"/>
      <c r="I1110" s="871">
        <f>SUM(I1111:I1112)</f>
        <v>9496.7999999999993</v>
      </c>
      <c r="J1110" s="871">
        <f>SUM(J1111:J1112)</f>
        <v>6331.2</v>
      </c>
      <c r="K1110" s="871">
        <f>I1110+J1110</f>
        <v>15828</v>
      </c>
    </row>
    <row r="1111" spans="1:11" s="901" customFormat="1" ht="99.75" customHeight="1">
      <c r="A1111" s="1068" t="s">
        <v>2081</v>
      </c>
      <c r="B1111" s="1069"/>
      <c r="C1111" s="928" t="s">
        <v>2084</v>
      </c>
      <c r="D1111" s="928">
        <v>17</v>
      </c>
      <c r="E1111" s="928" t="s">
        <v>2097</v>
      </c>
      <c r="F1111" s="1044" t="s">
        <v>2224</v>
      </c>
      <c r="G1111" s="1072">
        <v>8100</v>
      </c>
      <c r="H1111" s="1075" t="s">
        <v>2273</v>
      </c>
      <c r="I1111" s="873">
        <f>K1111/100*60</f>
        <v>6000</v>
      </c>
      <c r="J1111" s="873">
        <f>K1111/100*40</f>
        <v>4000</v>
      </c>
      <c r="K1111" s="873">
        <v>10000</v>
      </c>
    </row>
    <row r="1112" spans="1:11" s="901" customFormat="1" ht="99.75" customHeight="1">
      <c r="A1112" s="1068" t="s">
        <v>1556</v>
      </c>
      <c r="B1112" s="1069"/>
      <c r="C1112" s="928" t="s">
        <v>2088</v>
      </c>
      <c r="D1112" s="928">
        <v>10</v>
      </c>
      <c r="E1112" s="928" t="s">
        <v>2097</v>
      </c>
      <c r="F1112" s="1046"/>
      <c r="G1112" s="1074"/>
      <c r="H1112" s="1077"/>
      <c r="I1112" s="873">
        <f>K1112/100*60</f>
        <v>3496.8</v>
      </c>
      <c r="J1112" s="873">
        <f>K1112/100*40</f>
        <v>2331.1999999999998</v>
      </c>
      <c r="K1112" s="873">
        <v>5828</v>
      </c>
    </row>
    <row r="1113" spans="1:11" s="902" customFormat="1" ht="99.75" customHeight="1">
      <c r="A1113" s="1066" t="s">
        <v>2455</v>
      </c>
      <c r="B1113" s="1066"/>
      <c r="C1113" s="1066"/>
      <c r="D1113" s="1066"/>
      <c r="E1113" s="1066"/>
      <c r="F1113" s="1066"/>
      <c r="G1113" s="1066"/>
      <c r="H1113" s="1066"/>
      <c r="I1113" s="1066"/>
      <c r="J1113" s="1066"/>
      <c r="K1113" s="1066"/>
    </row>
    <row r="1114" spans="1:11" s="472" customFormat="1" ht="60" customHeight="1">
      <c r="A1114" s="41"/>
      <c r="B1114" s="27"/>
      <c r="C1114" s="27"/>
      <c r="D1114" s="27"/>
      <c r="E1114" s="27"/>
      <c r="F1114" s="11"/>
      <c r="G1114" s="11"/>
      <c r="H1114" s="11"/>
      <c r="I1114" s="11"/>
      <c r="J1114" s="11"/>
      <c r="K1114" s="11"/>
    </row>
    <row r="1115" spans="1:11" ht="35.1" customHeight="1">
      <c r="I1115" s="429"/>
      <c r="J1115" s="429"/>
    </row>
    <row r="1116" spans="1:11" ht="35.1" customHeight="1">
      <c r="D1116" s="404"/>
      <c r="I1116" s="430"/>
      <c r="J1116" s="430"/>
    </row>
  </sheetData>
  <mergeCells count="1438">
    <mergeCell ref="A1113:K1113"/>
    <mergeCell ref="A1111:B1111"/>
    <mergeCell ref="F1111:F1112"/>
    <mergeCell ref="G1111:G1112"/>
    <mergeCell ref="H1111:H1112"/>
    <mergeCell ref="A1112:B1112"/>
    <mergeCell ref="A947:K947"/>
    <mergeCell ref="F1105:F1107"/>
    <mergeCell ref="A1106:B1106"/>
    <mergeCell ref="A1107:B1107"/>
    <mergeCell ref="A1108:B1108"/>
    <mergeCell ref="A1109:B1109"/>
    <mergeCell ref="A1110:B1110"/>
    <mergeCell ref="A1100:B1100"/>
    <mergeCell ref="F1100:F1102"/>
    <mergeCell ref="G1100:G1107"/>
    <mergeCell ref="H1100:H1107"/>
    <mergeCell ref="A1101:B1101"/>
    <mergeCell ref="A1102:B1102"/>
    <mergeCell ref="A1103:B1103"/>
    <mergeCell ref="F1103:F1104"/>
    <mergeCell ref="A1104:B1104"/>
    <mergeCell ref="A1105:B1105"/>
    <mergeCell ref="H1096:H1097"/>
    <mergeCell ref="I1096:I1097"/>
    <mergeCell ref="J1096:J1097"/>
    <mergeCell ref="K1096:K1097"/>
    <mergeCell ref="A1098:B1098"/>
    <mergeCell ref="A1099:B1099"/>
    <mergeCell ref="H1093:H1094"/>
    <mergeCell ref="A1094:B1094"/>
    <mergeCell ref="A1095:B1095"/>
    <mergeCell ref="A1096:B1097"/>
    <mergeCell ref="C1096:C1097"/>
    <mergeCell ref="D1096:D1097"/>
    <mergeCell ref="E1096:E1097"/>
    <mergeCell ref="F1096:F1097"/>
    <mergeCell ref="G1096:G1097"/>
    <mergeCell ref="A1090:B1090"/>
    <mergeCell ref="A1091:B1091"/>
    <mergeCell ref="A1092:B1092"/>
    <mergeCell ref="A1093:B1093"/>
    <mergeCell ref="F1093:F1094"/>
    <mergeCell ref="G1093:G1094"/>
    <mergeCell ref="A1084:B1084"/>
    <mergeCell ref="F1084:F1086"/>
    <mergeCell ref="G1084:G1089"/>
    <mergeCell ref="H1084:H1089"/>
    <mergeCell ref="A1085:B1085"/>
    <mergeCell ref="A1086:B1086"/>
    <mergeCell ref="A1087:B1087"/>
    <mergeCell ref="A1088:B1088"/>
    <mergeCell ref="F1088:F1089"/>
    <mergeCell ref="A1089:B1089"/>
    <mergeCell ref="A1080:B1080"/>
    <mergeCell ref="G1080:G1082"/>
    <mergeCell ref="H1080:H1082"/>
    <mergeCell ref="A1081:B1081"/>
    <mergeCell ref="A1082:B1082"/>
    <mergeCell ref="A1083:B1083"/>
    <mergeCell ref="H1076:H1077"/>
    <mergeCell ref="I1076:I1077"/>
    <mergeCell ref="J1076:J1077"/>
    <mergeCell ref="K1076:K1077"/>
    <mergeCell ref="A1078:B1078"/>
    <mergeCell ref="A1079:F1079"/>
    <mergeCell ref="A1069:K1069"/>
    <mergeCell ref="A1071:K1071"/>
    <mergeCell ref="A1074:K1074"/>
    <mergeCell ref="A1075:K1075"/>
    <mergeCell ref="A1076:B1077"/>
    <mergeCell ref="C1076:C1077"/>
    <mergeCell ref="D1076:D1077"/>
    <mergeCell ref="E1076:E1077"/>
    <mergeCell ref="F1076:F1077"/>
    <mergeCell ref="G1076:G1077"/>
    <mergeCell ref="G1063:G1064"/>
    <mergeCell ref="H1063:H1064"/>
    <mergeCell ref="A1064:B1064"/>
    <mergeCell ref="A1065:K1065"/>
    <mergeCell ref="A1067:K1067"/>
    <mergeCell ref="A1068:K1068"/>
    <mergeCell ref="A1059:B1059"/>
    <mergeCell ref="A1060:B1060"/>
    <mergeCell ref="A1061:B1061"/>
    <mergeCell ref="A1062:B1062"/>
    <mergeCell ref="A1063:B1063"/>
    <mergeCell ref="F1063:F1064"/>
    <mergeCell ref="A1053:B1053"/>
    <mergeCell ref="A1054:B1054"/>
    <mergeCell ref="F1054:F1056"/>
    <mergeCell ref="G1054:G1059"/>
    <mergeCell ref="H1054:H1059"/>
    <mergeCell ref="A1055:B1055"/>
    <mergeCell ref="A1056:B1056"/>
    <mergeCell ref="A1057:B1057"/>
    <mergeCell ref="A1058:B1058"/>
    <mergeCell ref="F1058:F1059"/>
    <mergeCell ref="I1047:I1048"/>
    <mergeCell ref="J1047:J1048"/>
    <mergeCell ref="K1047:K1048"/>
    <mergeCell ref="A1049:B1049"/>
    <mergeCell ref="A1050:F1050"/>
    <mergeCell ref="A1051:B1051"/>
    <mergeCell ref="G1051:G1052"/>
    <mergeCell ref="H1051:H1052"/>
    <mergeCell ref="A1052:B1052"/>
    <mergeCell ref="C1047:C1048"/>
    <mergeCell ref="D1047:D1048"/>
    <mergeCell ref="E1047:E1048"/>
    <mergeCell ref="F1047:F1048"/>
    <mergeCell ref="G1047:G1048"/>
    <mergeCell ref="H1047:H1048"/>
    <mergeCell ref="A1035:B1035"/>
    <mergeCell ref="A1047:B1048"/>
    <mergeCell ref="A1046:K1046"/>
    <mergeCell ref="G1027:G1031"/>
    <mergeCell ref="H1027:H1031"/>
    <mergeCell ref="A1028:B1028"/>
    <mergeCell ref="A1029:B1029"/>
    <mergeCell ref="A1030:B1030"/>
    <mergeCell ref="F1030:F1031"/>
    <mergeCell ref="A1031:B1031"/>
    <mergeCell ref="H1023:H1024"/>
    <mergeCell ref="I1023:I1024"/>
    <mergeCell ref="J1023:J1024"/>
    <mergeCell ref="A1036:K1036"/>
    <mergeCell ref="A1038:K1038"/>
    <mergeCell ref="A1039:K1039"/>
    <mergeCell ref="A1040:K1040"/>
    <mergeCell ref="A1042:K1042"/>
    <mergeCell ref="A1045:K1045"/>
    <mergeCell ref="K1023:K1024"/>
    <mergeCell ref="A1025:B1025"/>
    <mergeCell ref="A1026:B1026"/>
    <mergeCell ref="A1023:B1024"/>
    <mergeCell ref="C1023:C1024"/>
    <mergeCell ref="D1023:D1024"/>
    <mergeCell ref="E1023:E1024"/>
    <mergeCell ref="F1023:F1024"/>
    <mergeCell ref="G1023:G1024"/>
    <mergeCell ref="A1018:B1018"/>
    <mergeCell ref="A1019:B1019"/>
    <mergeCell ref="A1020:B1020"/>
    <mergeCell ref="A1021:B1021"/>
    <mergeCell ref="A1022:B1022"/>
    <mergeCell ref="A1032:B1032"/>
    <mergeCell ref="A1033:B1033"/>
    <mergeCell ref="A1034:B1034"/>
    <mergeCell ref="F1013:F1014"/>
    <mergeCell ref="A1014:B1014"/>
    <mergeCell ref="A1015:B1015"/>
    <mergeCell ref="F1015:F1017"/>
    <mergeCell ref="A1016:B1016"/>
    <mergeCell ref="A1017:B1017"/>
    <mergeCell ref="A1007:B1007"/>
    <mergeCell ref="A1008:B1008"/>
    <mergeCell ref="A1009:B1009"/>
    <mergeCell ref="F1009:F1012"/>
    <mergeCell ref="A1027:B1027"/>
    <mergeCell ref="G1009:G1017"/>
    <mergeCell ref="H1009:H1017"/>
    <mergeCell ref="A1010:B1010"/>
    <mergeCell ref="A1011:B1011"/>
    <mergeCell ref="A1012:B1012"/>
    <mergeCell ref="A1013:B1013"/>
    <mergeCell ref="H1003:H1004"/>
    <mergeCell ref="I1003:I1004"/>
    <mergeCell ref="J1003:J1004"/>
    <mergeCell ref="K1003:K1004"/>
    <mergeCell ref="A1005:B1005"/>
    <mergeCell ref="A1006:F1006"/>
    <mergeCell ref="A990:B990"/>
    <mergeCell ref="A991:B991"/>
    <mergeCell ref="A1003:B1004"/>
    <mergeCell ref="C1003:C1004"/>
    <mergeCell ref="D1003:D1004"/>
    <mergeCell ref="E1003:E1004"/>
    <mergeCell ref="F1003:F1004"/>
    <mergeCell ref="G1003:G1004"/>
    <mergeCell ref="A986:B986"/>
    <mergeCell ref="A987:B987"/>
    <mergeCell ref="G987:G989"/>
    <mergeCell ref="H987:H989"/>
    <mergeCell ref="A988:B988"/>
    <mergeCell ref="A989:B989"/>
    <mergeCell ref="A992:K992"/>
    <mergeCell ref="A994:K994"/>
    <mergeCell ref="A995:K995"/>
    <mergeCell ref="A996:K996"/>
    <mergeCell ref="A998:K998"/>
    <mergeCell ref="A1001:K1001"/>
    <mergeCell ref="A1002:K1002"/>
    <mergeCell ref="I981:I982"/>
    <mergeCell ref="J981:J982"/>
    <mergeCell ref="K981:K982"/>
    <mergeCell ref="A983:B983"/>
    <mergeCell ref="A984:F984"/>
    <mergeCell ref="A985:B985"/>
    <mergeCell ref="A981:B982"/>
    <mergeCell ref="C981:C982"/>
    <mergeCell ref="D981:D982"/>
    <mergeCell ref="E981:E982"/>
    <mergeCell ref="F981:F982"/>
    <mergeCell ref="G981:G982"/>
    <mergeCell ref="H981:H982"/>
    <mergeCell ref="H977:H979"/>
    <mergeCell ref="A978:B978"/>
    <mergeCell ref="A979:B979"/>
    <mergeCell ref="A980:B980"/>
    <mergeCell ref="A974:B974"/>
    <mergeCell ref="A975:B975"/>
    <mergeCell ref="A976:B976"/>
    <mergeCell ref="A977:B977"/>
    <mergeCell ref="F977:F979"/>
    <mergeCell ref="G977:G979"/>
    <mergeCell ref="A968:B968"/>
    <mergeCell ref="A969:B969"/>
    <mergeCell ref="F969:F970"/>
    <mergeCell ref="G969:G973"/>
    <mergeCell ref="H969:H973"/>
    <mergeCell ref="A970:B970"/>
    <mergeCell ref="A971:B971"/>
    <mergeCell ref="F971:F972"/>
    <mergeCell ref="A972:B972"/>
    <mergeCell ref="A973:B973"/>
    <mergeCell ref="A962:B962"/>
    <mergeCell ref="G962:G967"/>
    <mergeCell ref="H962:H967"/>
    <mergeCell ref="A963:B963"/>
    <mergeCell ref="A964:B964"/>
    <mergeCell ref="A965:B965"/>
    <mergeCell ref="A966:B966"/>
    <mergeCell ref="A967:B967"/>
    <mergeCell ref="H958:H959"/>
    <mergeCell ref="I958:I959"/>
    <mergeCell ref="J958:J959"/>
    <mergeCell ref="K958:K959"/>
    <mergeCell ref="A960:B960"/>
    <mergeCell ref="A961:F961"/>
    <mergeCell ref="A951:K951"/>
    <mergeCell ref="A953:K953"/>
    <mergeCell ref="A956:K956"/>
    <mergeCell ref="A957:K957"/>
    <mergeCell ref="A958:B959"/>
    <mergeCell ref="C958:C959"/>
    <mergeCell ref="D958:D959"/>
    <mergeCell ref="E958:E959"/>
    <mergeCell ref="F958:F959"/>
    <mergeCell ref="G958:G959"/>
    <mergeCell ref="A943:B943"/>
    <mergeCell ref="A944:B944"/>
    <mergeCell ref="A945:B945"/>
    <mergeCell ref="A946:B946"/>
    <mergeCell ref="A949:K949"/>
    <mergeCell ref="A950:K950"/>
    <mergeCell ref="A937:B937"/>
    <mergeCell ref="A938:B938"/>
    <mergeCell ref="G938:G942"/>
    <mergeCell ref="H938:H942"/>
    <mergeCell ref="A939:B939"/>
    <mergeCell ref="A940:B940"/>
    <mergeCell ref="F940:F942"/>
    <mergeCell ref="A941:B941"/>
    <mergeCell ref="A942:B942"/>
    <mergeCell ref="I932:I933"/>
    <mergeCell ref="J932:J933"/>
    <mergeCell ref="K932:K933"/>
    <mergeCell ref="A934:B934"/>
    <mergeCell ref="A935:F935"/>
    <mergeCell ref="A936:B936"/>
    <mergeCell ref="H929:H930"/>
    <mergeCell ref="A930:B930"/>
    <mergeCell ref="A931:B931"/>
    <mergeCell ref="A932:B933"/>
    <mergeCell ref="C932:C933"/>
    <mergeCell ref="D932:D933"/>
    <mergeCell ref="E932:E933"/>
    <mergeCell ref="F932:F933"/>
    <mergeCell ref="G932:G933"/>
    <mergeCell ref="H932:H933"/>
    <mergeCell ref="A926:B926"/>
    <mergeCell ref="A927:B927"/>
    <mergeCell ref="A928:B928"/>
    <mergeCell ref="A929:B929"/>
    <mergeCell ref="F929:F930"/>
    <mergeCell ref="G929:G930"/>
    <mergeCell ref="A922:B922"/>
    <mergeCell ref="F922:F923"/>
    <mergeCell ref="A923:B923"/>
    <mergeCell ref="A924:B924"/>
    <mergeCell ref="F924:F925"/>
    <mergeCell ref="A925:B925"/>
    <mergeCell ref="I916:I917"/>
    <mergeCell ref="J916:J917"/>
    <mergeCell ref="K916:K917"/>
    <mergeCell ref="A918:B918"/>
    <mergeCell ref="A919:B919"/>
    <mergeCell ref="A920:B920"/>
    <mergeCell ref="F920:F921"/>
    <mergeCell ref="G920:G925"/>
    <mergeCell ref="H920:H925"/>
    <mergeCell ref="A921:B921"/>
    <mergeCell ref="A911:K911"/>
    <mergeCell ref="A914:K914"/>
    <mergeCell ref="A915:K915"/>
    <mergeCell ref="A916:B917"/>
    <mergeCell ref="C916:C917"/>
    <mergeCell ref="D916:D917"/>
    <mergeCell ref="E916:E917"/>
    <mergeCell ref="F916:F917"/>
    <mergeCell ref="G916:G917"/>
    <mergeCell ref="H916:H917"/>
    <mergeCell ref="H903:H904"/>
    <mergeCell ref="A904:B904"/>
    <mergeCell ref="A905:K905"/>
    <mergeCell ref="A907:K907"/>
    <mergeCell ref="A908:K908"/>
    <mergeCell ref="A909:K909"/>
    <mergeCell ref="A900:B900"/>
    <mergeCell ref="A901:B901"/>
    <mergeCell ref="A902:B902"/>
    <mergeCell ref="A903:B903"/>
    <mergeCell ref="F903:F904"/>
    <mergeCell ref="G903:G904"/>
    <mergeCell ref="A895:B895"/>
    <mergeCell ref="A896:B896"/>
    <mergeCell ref="G896:G899"/>
    <mergeCell ref="H896:H899"/>
    <mergeCell ref="A897:B897"/>
    <mergeCell ref="A898:B898"/>
    <mergeCell ref="F898:F899"/>
    <mergeCell ref="A899:B899"/>
    <mergeCell ref="G892:G893"/>
    <mergeCell ref="H892:H893"/>
    <mergeCell ref="I892:I893"/>
    <mergeCell ref="J892:J893"/>
    <mergeCell ref="K892:K893"/>
    <mergeCell ref="A894:B894"/>
    <mergeCell ref="A891:B891"/>
    <mergeCell ref="A892:B893"/>
    <mergeCell ref="C892:C893"/>
    <mergeCell ref="D892:D893"/>
    <mergeCell ref="E892:E893"/>
    <mergeCell ref="F892:F893"/>
    <mergeCell ref="A888:B888"/>
    <mergeCell ref="A889:B889"/>
    <mergeCell ref="F889:F890"/>
    <mergeCell ref="G889:G890"/>
    <mergeCell ref="H889:H890"/>
    <mergeCell ref="A890:B890"/>
    <mergeCell ref="A883:B883"/>
    <mergeCell ref="F883:F885"/>
    <mergeCell ref="A884:B884"/>
    <mergeCell ref="A885:B885"/>
    <mergeCell ref="A886:B886"/>
    <mergeCell ref="A887:B887"/>
    <mergeCell ref="J876:J877"/>
    <mergeCell ref="K876:K877"/>
    <mergeCell ref="A878:B878"/>
    <mergeCell ref="A879:B879"/>
    <mergeCell ref="A880:B880"/>
    <mergeCell ref="F880:F881"/>
    <mergeCell ref="G880:G885"/>
    <mergeCell ref="H880:H885"/>
    <mergeCell ref="A881:B881"/>
    <mergeCell ref="A882:B882"/>
    <mergeCell ref="A874:K874"/>
    <mergeCell ref="A875:K875"/>
    <mergeCell ref="A876:B877"/>
    <mergeCell ref="C876:C877"/>
    <mergeCell ref="D876:D877"/>
    <mergeCell ref="E876:E877"/>
    <mergeCell ref="F876:F877"/>
    <mergeCell ref="G876:G877"/>
    <mergeCell ref="H876:H877"/>
    <mergeCell ref="I876:I877"/>
    <mergeCell ref="A863:B863"/>
    <mergeCell ref="A864:B864"/>
    <mergeCell ref="A867:K867"/>
    <mergeCell ref="A868:K868"/>
    <mergeCell ref="A869:K869"/>
    <mergeCell ref="A871:K871"/>
    <mergeCell ref="J856:J857"/>
    <mergeCell ref="K856:K857"/>
    <mergeCell ref="A858:B858"/>
    <mergeCell ref="A859:B859"/>
    <mergeCell ref="A860:B860"/>
    <mergeCell ref="G860:G862"/>
    <mergeCell ref="H860:H862"/>
    <mergeCell ref="A861:B861"/>
    <mergeCell ref="A862:B862"/>
    <mergeCell ref="A854:K854"/>
    <mergeCell ref="A855:B855"/>
    <mergeCell ref="A856:B857"/>
    <mergeCell ref="C856:C857"/>
    <mergeCell ref="D856:D857"/>
    <mergeCell ref="E856:E857"/>
    <mergeCell ref="F856:F857"/>
    <mergeCell ref="G856:G857"/>
    <mergeCell ref="H856:H857"/>
    <mergeCell ref="I856:I857"/>
    <mergeCell ref="A849:B849"/>
    <mergeCell ref="A850:B850"/>
    <mergeCell ref="A851:B851"/>
    <mergeCell ref="F852:F853"/>
    <mergeCell ref="G852:G853"/>
    <mergeCell ref="H852:H853"/>
    <mergeCell ref="K839:K840"/>
    <mergeCell ref="A841:B841"/>
    <mergeCell ref="A842:B842"/>
    <mergeCell ref="G843:G848"/>
    <mergeCell ref="H843:H848"/>
    <mergeCell ref="F844:F845"/>
    <mergeCell ref="F847:F848"/>
    <mergeCell ref="A838:K838"/>
    <mergeCell ref="A839:B840"/>
    <mergeCell ref="C839:C840"/>
    <mergeCell ref="D839:D840"/>
    <mergeCell ref="E839:E840"/>
    <mergeCell ref="F839:F840"/>
    <mergeCell ref="G839:G840"/>
    <mergeCell ref="H839:H840"/>
    <mergeCell ref="I839:I840"/>
    <mergeCell ref="J839:J840"/>
    <mergeCell ref="A828:K828"/>
    <mergeCell ref="A830:K830"/>
    <mergeCell ref="A831:K831"/>
    <mergeCell ref="A832:K832"/>
    <mergeCell ref="A834:K834"/>
    <mergeCell ref="A837:K837"/>
    <mergeCell ref="A824:B824"/>
    <mergeCell ref="A825:B825"/>
    <mergeCell ref="F825:F827"/>
    <mergeCell ref="G825:G827"/>
    <mergeCell ref="H825:H827"/>
    <mergeCell ref="A826:B826"/>
    <mergeCell ref="A827:B827"/>
    <mergeCell ref="F818:F821"/>
    <mergeCell ref="A819:B819"/>
    <mergeCell ref="A820:B820"/>
    <mergeCell ref="A821:B821"/>
    <mergeCell ref="A822:B822"/>
    <mergeCell ref="A823:B823"/>
    <mergeCell ref="A813:B813"/>
    <mergeCell ref="F813:F814"/>
    <mergeCell ref="G813:G821"/>
    <mergeCell ref="H813:H821"/>
    <mergeCell ref="A814:B814"/>
    <mergeCell ref="A815:B815"/>
    <mergeCell ref="F815:F817"/>
    <mergeCell ref="A816:B816"/>
    <mergeCell ref="A817:B817"/>
    <mergeCell ref="A818:B818"/>
    <mergeCell ref="H809:H810"/>
    <mergeCell ref="I809:I810"/>
    <mergeCell ref="J809:J810"/>
    <mergeCell ref="K809:K810"/>
    <mergeCell ref="A811:B811"/>
    <mergeCell ref="A812:B812"/>
    <mergeCell ref="A802:K802"/>
    <mergeCell ref="A804:K804"/>
    <mergeCell ref="A807:K807"/>
    <mergeCell ref="A808:K808"/>
    <mergeCell ref="A809:B810"/>
    <mergeCell ref="C809:C810"/>
    <mergeCell ref="D809:D810"/>
    <mergeCell ref="E809:E810"/>
    <mergeCell ref="F809:F810"/>
    <mergeCell ref="G809:G810"/>
    <mergeCell ref="A795:B795"/>
    <mergeCell ref="A796:B796"/>
    <mergeCell ref="A797:B797"/>
    <mergeCell ref="A798:B798"/>
    <mergeCell ref="A800:K800"/>
    <mergeCell ref="A801:K801"/>
    <mergeCell ref="K787:K788"/>
    <mergeCell ref="A789:B789"/>
    <mergeCell ref="A790:B790"/>
    <mergeCell ref="A791:B791"/>
    <mergeCell ref="G791:G796"/>
    <mergeCell ref="H791:H796"/>
    <mergeCell ref="A792:B792"/>
    <mergeCell ref="A793:B793"/>
    <mergeCell ref="A794:B794"/>
    <mergeCell ref="F794:F796"/>
    <mergeCell ref="E787:E788"/>
    <mergeCell ref="F787:F788"/>
    <mergeCell ref="G787:G788"/>
    <mergeCell ref="H787:H788"/>
    <mergeCell ref="I787:I788"/>
    <mergeCell ref="J787:J788"/>
    <mergeCell ref="A784:B784"/>
    <mergeCell ref="A785:B785"/>
    <mergeCell ref="A786:B786"/>
    <mergeCell ref="A787:B788"/>
    <mergeCell ref="C787:C788"/>
    <mergeCell ref="D787:D788"/>
    <mergeCell ref="A780:B780"/>
    <mergeCell ref="A781:B781"/>
    <mergeCell ref="G781:G783"/>
    <mergeCell ref="H781:H783"/>
    <mergeCell ref="A782:B782"/>
    <mergeCell ref="A783:B783"/>
    <mergeCell ref="G777:G778"/>
    <mergeCell ref="H777:H778"/>
    <mergeCell ref="I777:I778"/>
    <mergeCell ref="J777:J778"/>
    <mergeCell ref="K777:K778"/>
    <mergeCell ref="A779:B779"/>
    <mergeCell ref="A776:B776"/>
    <mergeCell ref="A777:B778"/>
    <mergeCell ref="C777:C778"/>
    <mergeCell ref="D777:D778"/>
    <mergeCell ref="E777:E778"/>
    <mergeCell ref="F777:F778"/>
    <mergeCell ref="A773:B773"/>
    <mergeCell ref="A774:B774"/>
    <mergeCell ref="F774:F775"/>
    <mergeCell ref="G774:G775"/>
    <mergeCell ref="H774:H775"/>
    <mergeCell ref="A775:B775"/>
    <mergeCell ref="A769:B769"/>
    <mergeCell ref="G769:G772"/>
    <mergeCell ref="H769:H772"/>
    <mergeCell ref="A770:B770"/>
    <mergeCell ref="A771:B771"/>
    <mergeCell ref="F771:F772"/>
    <mergeCell ref="A772:B772"/>
    <mergeCell ref="H765:H766"/>
    <mergeCell ref="I765:I766"/>
    <mergeCell ref="J765:J766"/>
    <mergeCell ref="K765:K766"/>
    <mergeCell ref="A767:B767"/>
    <mergeCell ref="A768:B768"/>
    <mergeCell ref="A765:B766"/>
    <mergeCell ref="C765:C766"/>
    <mergeCell ref="D765:D766"/>
    <mergeCell ref="E765:E766"/>
    <mergeCell ref="F765:F766"/>
    <mergeCell ref="G765:G766"/>
    <mergeCell ref="A756:K756"/>
    <mergeCell ref="A757:K757"/>
    <mergeCell ref="A758:K758"/>
    <mergeCell ref="A760:K760"/>
    <mergeCell ref="A763:K763"/>
    <mergeCell ref="A764:K764"/>
    <mergeCell ref="I748:I749"/>
    <mergeCell ref="J748:J749"/>
    <mergeCell ref="K748:K749"/>
    <mergeCell ref="A750:B750"/>
    <mergeCell ref="A751:B751"/>
    <mergeCell ref="A752:B752"/>
    <mergeCell ref="G752:G753"/>
    <mergeCell ref="H752:H753"/>
    <mergeCell ref="A753:B753"/>
    <mergeCell ref="C748:C749"/>
    <mergeCell ref="D748:D749"/>
    <mergeCell ref="E748:E749"/>
    <mergeCell ref="F748:F749"/>
    <mergeCell ref="G748:G749"/>
    <mergeCell ref="H748:H749"/>
    <mergeCell ref="A743:B743"/>
    <mergeCell ref="A744:B744"/>
    <mergeCell ref="A745:B745"/>
    <mergeCell ref="A746:B746"/>
    <mergeCell ref="A747:B747"/>
    <mergeCell ref="A748:B749"/>
    <mergeCell ref="A737:B737"/>
    <mergeCell ref="A738:B738"/>
    <mergeCell ref="G738:G742"/>
    <mergeCell ref="H738:H742"/>
    <mergeCell ref="A739:B739"/>
    <mergeCell ref="A740:B740"/>
    <mergeCell ref="F740:F742"/>
    <mergeCell ref="A741:B741"/>
    <mergeCell ref="A742:B742"/>
    <mergeCell ref="G734:G735"/>
    <mergeCell ref="H734:H735"/>
    <mergeCell ref="I734:I735"/>
    <mergeCell ref="J734:J735"/>
    <mergeCell ref="K734:K735"/>
    <mergeCell ref="A736:B736"/>
    <mergeCell ref="A733:B733"/>
    <mergeCell ref="A734:B735"/>
    <mergeCell ref="C734:C735"/>
    <mergeCell ref="D734:D735"/>
    <mergeCell ref="E734:E735"/>
    <mergeCell ref="F734:F735"/>
    <mergeCell ref="F727:F728"/>
    <mergeCell ref="A728:B728"/>
    <mergeCell ref="A729:B729"/>
    <mergeCell ref="A730:B730"/>
    <mergeCell ref="A731:B731"/>
    <mergeCell ref="A732:B732"/>
    <mergeCell ref="I721:I722"/>
    <mergeCell ref="J721:J722"/>
    <mergeCell ref="K721:K722"/>
    <mergeCell ref="A723:B723"/>
    <mergeCell ref="A724:B724"/>
    <mergeCell ref="A725:B725"/>
    <mergeCell ref="G725:G728"/>
    <mergeCell ref="H725:H728"/>
    <mergeCell ref="A726:B726"/>
    <mergeCell ref="A727:B727"/>
    <mergeCell ref="A716:K716"/>
    <mergeCell ref="A719:K719"/>
    <mergeCell ref="A720:K720"/>
    <mergeCell ref="A721:B722"/>
    <mergeCell ref="C721:C722"/>
    <mergeCell ref="D721:D722"/>
    <mergeCell ref="E721:E722"/>
    <mergeCell ref="F721:F722"/>
    <mergeCell ref="G721:G722"/>
    <mergeCell ref="H721:H722"/>
    <mergeCell ref="H696:H697"/>
    <mergeCell ref="A697:B697"/>
    <mergeCell ref="A698:K698"/>
    <mergeCell ref="A712:K712"/>
    <mergeCell ref="A713:K713"/>
    <mergeCell ref="A714:K714"/>
    <mergeCell ref="A693:B693"/>
    <mergeCell ref="A694:B694"/>
    <mergeCell ref="A695:B695"/>
    <mergeCell ref="A696:B696"/>
    <mergeCell ref="F696:F697"/>
    <mergeCell ref="G696:G697"/>
    <mergeCell ref="A687:B687"/>
    <mergeCell ref="G687:G692"/>
    <mergeCell ref="H687:H692"/>
    <mergeCell ref="A688:B688"/>
    <mergeCell ref="A689:B689"/>
    <mergeCell ref="F689:F692"/>
    <mergeCell ref="A690:B690"/>
    <mergeCell ref="A691:B691"/>
    <mergeCell ref="A692:B692"/>
    <mergeCell ref="H683:H684"/>
    <mergeCell ref="I683:I684"/>
    <mergeCell ref="J683:J684"/>
    <mergeCell ref="K683:K684"/>
    <mergeCell ref="A685:B685"/>
    <mergeCell ref="A686:B686"/>
    <mergeCell ref="A676:K676"/>
    <mergeCell ref="A678:K678"/>
    <mergeCell ref="A681:K681"/>
    <mergeCell ref="A682:K682"/>
    <mergeCell ref="A683:B684"/>
    <mergeCell ref="C683:C684"/>
    <mergeCell ref="D683:D684"/>
    <mergeCell ref="E683:E684"/>
    <mergeCell ref="F683:F684"/>
    <mergeCell ref="G683:G684"/>
    <mergeCell ref="A663:B663"/>
    <mergeCell ref="A664:B664"/>
    <mergeCell ref="A665:I665"/>
    <mergeCell ref="A666:I666"/>
    <mergeCell ref="A674:K674"/>
    <mergeCell ref="A675:K675"/>
    <mergeCell ref="A657:B657"/>
    <mergeCell ref="F657:F660"/>
    <mergeCell ref="G657:G661"/>
    <mergeCell ref="H657:H661"/>
    <mergeCell ref="A658:B658"/>
    <mergeCell ref="A659:B659"/>
    <mergeCell ref="A660:B660"/>
    <mergeCell ref="A661:B661"/>
    <mergeCell ref="A652:B652"/>
    <mergeCell ref="F652:F656"/>
    <mergeCell ref="G652:G656"/>
    <mergeCell ref="H652:H656"/>
    <mergeCell ref="A653:B653"/>
    <mergeCell ref="A654:B654"/>
    <mergeCell ref="A655:B655"/>
    <mergeCell ref="A656:B656"/>
    <mergeCell ref="H647:H648"/>
    <mergeCell ref="A648:B648"/>
    <mergeCell ref="A649:B649"/>
    <mergeCell ref="A650:B650"/>
    <mergeCell ref="F650:F651"/>
    <mergeCell ref="G650:G651"/>
    <mergeCell ref="H650:H651"/>
    <mergeCell ref="A651:B651"/>
    <mergeCell ref="A644:B644"/>
    <mergeCell ref="A645:B645"/>
    <mergeCell ref="A646:B646"/>
    <mergeCell ref="A647:B647"/>
    <mergeCell ref="F647:F648"/>
    <mergeCell ref="G647:G648"/>
    <mergeCell ref="A638:B638"/>
    <mergeCell ref="A639:B639"/>
    <mergeCell ref="F639:F641"/>
    <mergeCell ref="G639:G643"/>
    <mergeCell ref="H639:H643"/>
    <mergeCell ref="A640:B640"/>
    <mergeCell ref="A641:B641"/>
    <mergeCell ref="A642:B642"/>
    <mergeCell ref="F642:F643"/>
    <mergeCell ref="A643:B643"/>
    <mergeCell ref="G635:G636"/>
    <mergeCell ref="H635:H636"/>
    <mergeCell ref="I635:I636"/>
    <mergeCell ref="J635:J636"/>
    <mergeCell ref="K635:K636"/>
    <mergeCell ref="A637:B637"/>
    <mergeCell ref="A627:K627"/>
    <mergeCell ref="A628:K628"/>
    <mergeCell ref="A630:K630"/>
    <mergeCell ref="A633:K633"/>
    <mergeCell ref="A634:K634"/>
    <mergeCell ref="A635:B636"/>
    <mergeCell ref="C635:C636"/>
    <mergeCell ref="D635:D636"/>
    <mergeCell ref="E635:E636"/>
    <mergeCell ref="F635:F636"/>
    <mergeCell ref="F610:F611"/>
    <mergeCell ref="G610:G611"/>
    <mergeCell ref="H610:H611"/>
    <mergeCell ref="A611:B611"/>
    <mergeCell ref="A612:K612"/>
    <mergeCell ref="A626:K626"/>
    <mergeCell ref="A605:B605"/>
    <mergeCell ref="A606:B606"/>
    <mergeCell ref="A607:B607"/>
    <mergeCell ref="A608:B608"/>
    <mergeCell ref="A609:B609"/>
    <mergeCell ref="A610:B610"/>
    <mergeCell ref="A598:B598"/>
    <mergeCell ref="A599:B599"/>
    <mergeCell ref="G599:G606"/>
    <mergeCell ref="H599:H606"/>
    <mergeCell ref="A600:B600"/>
    <mergeCell ref="A601:B601"/>
    <mergeCell ref="F601:F606"/>
    <mergeCell ref="A602:B602"/>
    <mergeCell ref="A603:B603"/>
    <mergeCell ref="A604:B604"/>
    <mergeCell ref="A594:B594"/>
    <mergeCell ref="F594:F597"/>
    <mergeCell ref="G594:G597"/>
    <mergeCell ref="H594:H597"/>
    <mergeCell ref="A595:B595"/>
    <mergeCell ref="A596:B596"/>
    <mergeCell ref="A597:B597"/>
    <mergeCell ref="H590:H591"/>
    <mergeCell ref="I590:I591"/>
    <mergeCell ref="J590:J591"/>
    <mergeCell ref="K590:K591"/>
    <mergeCell ref="A592:B592"/>
    <mergeCell ref="A593:F593"/>
    <mergeCell ref="A590:B591"/>
    <mergeCell ref="C590:C591"/>
    <mergeCell ref="D590:D591"/>
    <mergeCell ref="E590:E591"/>
    <mergeCell ref="F590:F591"/>
    <mergeCell ref="G590:G591"/>
    <mergeCell ref="A581:K581"/>
    <mergeCell ref="A582:K582"/>
    <mergeCell ref="A583:K583"/>
    <mergeCell ref="A585:K585"/>
    <mergeCell ref="A588:K588"/>
    <mergeCell ref="A589:K589"/>
    <mergeCell ref="A565:B565"/>
    <mergeCell ref="A566:B566"/>
    <mergeCell ref="F566:F568"/>
    <mergeCell ref="G566:G568"/>
    <mergeCell ref="H566:H568"/>
    <mergeCell ref="A567:B567"/>
    <mergeCell ref="A568:B568"/>
    <mergeCell ref="A559:B559"/>
    <mergeCell ref="A560:B560"/>
    <mergeCell ref="A561:B561"/>
    <mergeCell ref="F561:F563"/>
    <mergeCell ref="G561:G564"/>
    <mergeCell ref="H561:H564"/>
    <mergeCell ref="A562:B562"/>
    <mergeCell ref="A563:B563"/>
    <mergeCell ref="A564:B564"/>
    <mergeCell ref="F557:F558"/>
    <mergeCell ref="G557:G558"/>
    <mergeCell ref="H557:H558"/>
    <mergeCell ref="I557:I558"/>
    <mergeCell ref="J557:J558"/>
    <mergeCell ref="K557:K558"/>
    <mergeCell ref="A555:B555"/>
    <mergeCell ref="A556:B556"/>
    <mergeCell ref="A557:B558"/>
    <mergeCell ref="C557:C558"/>
    <mergeCell ref="D557:D558"/>
    <mergeCell ref="E557:E558"/>
    <mergeCell ref="A551:B551"/>
    <mergeCell ref="G551:G553"/>
    <mergeCell ref="H551:H553"/>
    <mergeCell ref="A552:B552"/>
    <mergeCell ref="A553:B553"/>
    <mergeCell ref="A554:B554"/>
    <mergeCell ref="H547:H548"/>
    <mergeCell ref="I547:I548"/>
    <mergeCell ref="J547:J548"/>
    <mergeCell ref="K547:K548"/>
    <mergeCell ref="A549:B549"/>
    <mergeCell ref="A550:B550"/>
    <mergeCell ref="A547:B548"/>
    <mergeCell ref="C547:C548"/>
    <mergeCell ref="D547:D548"/>
    <mergeCell ref="E547:E548"/>
    <mergeCell ref="F547:F548"/>
    <mergeCell ref="G547:G548"/>
    <mergeCell ref="A538:K538"/>
    <mergeCell ref="A539:K539"/>
    <mergeCell ref="A540:K540"/>
    <mergeCell ref="A542:K542"/>
    <mergeCell ref="A545:K545"/>
    <mergeCell ref="A546:K546"/>
    <mergeCell ref="A521:B521"/>
    <mergeCell ref="A522:B522"/>
    <mergeCell ref="A523:B523"/>
    <mergeCell ref="F523:F526"/>
    <mergeCell ref="G523:G526"/>
    <mergeCell ref="H523:H526"/>
    <mergeCell ref="A524:B524"/>
    <mergeCell ref="A525:B525"/>
    <mergeCell ref="A526:B526"/>
    <mergeCell ref="A515:B515"/>
    <mergeCell ref="A516:B516"/>
    <mergeCell ref="A517:B517"/>
    <mergeCell ref="A518:B518"/>
    <mergeCell ref="A519:B519"/>
    <mergeCell ref="A520:B520"/>
    <mergeCell ref="A508:B508"/>
    <mergeCell ref="A509:B509"/>
    <mergeCell ref="A510:B510"/>
    <mergeCell ref="G510:G519"/>
    <mergeCell ref="H510:H519"/>
    <mergeCell ref="A511:B511"/>
    <mergeCell ref="A512:B512"/>
    <mergeCell ref="F512:F519"/>
    <mergeCell ref="A513:B513"/>
    <mergeCell ref="A514:B514"/>
    <mergeCell ref="H504:H505"/>
    <mergeCell ref="I504:I505"/>
    <mergeCell ref="J504:J505"/>
    <mergeCell ref="K504:K505"/>
    <mergeCell ref="A506:B506"/>
    <mergeCell ref="A507:F507"/>
    <mergeCell ref="A504:B505"/>
    <mergeCell ref="C504:C505"/>
    <mergeCell ref="D504:D505"/>
    <mergeCell ref="E504:E505"/>
    <mergeCell ref="F504:F505"/>
    <mergeCell ref="G504:G505"/>
    <mergeCell ref="A495:K495"/>
    <mergeCell ref="A496:K496"/>
    <mergeCell ref="A497:K497"/>
    <mergeCell ref="A499:K499"/>
    <mergeCell ref="A502:K502"/>
    <mergeCell ref="A503:K503"/>
    <mergeCell ref="A488:B488"/>
    <mergeCell ref="A489:B489"/>
    <mergeCell ref="G489:G492"/>
    <mergeCell ref="H489:H492"/>
    <mergeCell ref="A490:B490"/>
    <mergeCell ref="F490:F492"/>
    <mergeCell ref="A491:B491"/>
    <mergeCell ref="A492:B492"/>
    <mergeCell ref="I483:I484"/>
    <mergeCell ref="J483:J484"/>
    <mergeCell ref="K483:K484"/>
    <mergeCell ref="A485:B485"/>
    <mergeCell ref="A486:B486"/>
    <mergeCell ref="A487:B487"/>
    <mergeCell ref="C483:C484"/>
    <mergeCell ref="D483:D484"/>
    <mergeCell ref="E483:E484"/>
    <mergeCell ref="F483:F484"/>
    <mergeCell ref="G483:G484"/>
    <mergeCell ref="H483:H484"/>
    <mergeCell ref="A478:B478"/>
    <mergeCell ref="A479:B479"/>
    <mergeCell ref="A480:B480"/>
    <mergeCell ref="A481:B481"/>
    <mergeCell ref="A482:B482"/>
    <mergeCell ref="A483:B484"/>
    <mergeCell ref="A473:B473"/>
    <mergeCell ref="G473:G477"/>
    <mergeCell ref="H473:H477"/>
    <mergeCell ref="A474:B474"/>
    <mergeCell ref="A475:B475"/>
    <mergeCell ref="A476:B476"/>
    <mergeCell ref="F476:F477"/>
    <mergeCell ref="A477:B477"/>
    <mergeCell ref="H469:H470"/>
    <mergeCell ref="I469:I470"/>
    <mergeCell ref="J469:J470"/>
    <mergeCell ref="K469:K470"/>
    <mergeCell ref="A471:B471"/>
    <mergeCell ref="A472:B472"/>
    <mergeCell ref="A469:B470"/>
    <mergeCell ref="C469:C470"/>
    <mergeCell ref="D469:D470"/>
    <mergeCell ref="E469:E470"/>
    <mergeCell ref="F469:F470"/>
    <mergeCell ref="G469:G470"/>
    <mergeCell ref="A460:K460"/>
    <mergeCell ref="A461:K461"/>
    <mergeCell ref="A462:K462"/>
    <mergeCell ref="A464:K464"/>
    <mergeCell ref="A467:K467"/>
    <mergeCell ref="A468:K468"/>
    <mergeCell ref="A443:B443"/>
    <mergeCell ref="A444:B444"/>
    <mergeCell ref="A445:B445"/>
    <mergeCell ref="F445:F448"/>
    <mergeCell ref="G445:G448"/>
    <mergeCell ref="H445:H448"/>
    <mergeCell ref="A446:B446"/>
    <mergeCell ref="A447:B447"/>
    <mergeCell ref="A448:B448"/>
    <mergeCell ref="A437:B437"/>
    <mergeCell ref="A438:B438"/>
    <mergeCell ref="A439:B439"/>
    <mergeCell ref="A440:B440"/>
    <mergeCell ref="A441:B441"/>
    <mergeCell ref="A442:B442"/>
    <mergeCell ref="A430:B430"/>
    <mergeCell ref="A431:B431"/>
    <mergeCell ref="A432:B432"/>
    <mergeCell ref="G432:G441"/>
    <mergeCell ref="H432:H441"/>
    <mergeCell ref="A433:B433"/>
    <mergeCell ref="A434:B434"/>
    <mergeCell ref="F434:F441"/>
    <mergeCell ref="A435:B435"/>
    <mergeCell ref="A436:B436"/>
    <mergeCell ref="H426:H427"/>
    <mergeCell ref="I426:I427"/>
    <mergeCell ref="J426:J427"/>
    <mergeCell ref="K426:K427"/>
    <mergeCell ref="A428:B428"/>
    <mergeCell ref="A429:F429"/>
    <mergeCell ref="A419:K419"/>
    <mergeCell ref="A421:K421"/>
    <mergeCell ref="A424:K424"/>
    <mergeCell ref="A425:K425"/>
    <mergeCell ref="A426:B427"/>
    <mergeCell ref="C426:C427"/>
    <mergeCell ref="D426:D427"/>
    <mergeCell ref="E426:E427"/>
    <mergeCell ref="F426:F427"/>
    <mergeCell ref="G426:G427"/>
    <mergeCell ref="A408:B408"/>
    <mergeCell ref="A409:B409"/>
    <mergeCell ref="A410:B410"/>
    <mergeCell ref="A411:B411"/>
    <mergeCell ref="A417:K417"/>
    <mergeCell ref="A418:K418"/>
    <mergeCell ref="A404:B404"/>
    <mergeCell ref="A405:B405"/>
    <mergeCell ref="G405:G407"/>
    <mergeCell ref="H405:H407"/>
    <mergeCell ref="A406:B406"/>
    <mergeCell ref="A407:B407"/>
    <mergeCell ref="I399:I400"/>
    <mergeCell ref="J399:J400"/>
    <mergeCell ref="K399:K400"/>
    <mergeCell ref="A401:B401"/>
    <mergeCell ref="A402:F402"/>
    <mergeCell ref="A403:B403"/>
    <mergeCell ref="H396:H397"/>
    <mergeCell ref="A397:B397"/>
    <mergeCell ref="A398:B398"/>
    <mergeCell ref="A399:B400"/>
    <mergeCell ref="C399:C400"/>
    <mergeCell ref="D399:D400"/>
    <mergeCell ref="E399:E400"/>
    <mergeCell ref="F399:F400"/>
    <mergeCell ref="G399:G400"/>
    <mergeCell ref="H399:H400"/>
    <mergeCell ref="A393:B393"/>
    <mergeCell ref="A394:B394"/>
    <mergeCell ref="A395:B395"/>
    <mergeCell ref="A396:B396"/>
    <mergeCell ref="F396:F397"/>
    <mergeCell ref="G396:G397"/>
    <mergeCell ref="A388:B388"/>
    <mergeCell ref="G388:G392"/>
    <mergeCell ref="H388:H392"/>
    <mergeCell ref="A389:B389"/>
    <mergeCell ref="A390:B390"/>
    <mergeCell ref="F390:F392"/>
    <mergeCell ref="A391:B391"/>
    <mergeCell ref="A392:B392"/>
    <mergeCell ref="H384:H385"/>
    <mergeCell ref="I384:I385"/>
    <mergeCell ref="J384:J385"/>
    <mergeCell ref="K384:K385"/>
    <mergeCell ref="A386:B386"/>
    <mergeCell ref="A387:B387"/>
    <mergeCell ref="A377:K377"/>
    <mergeCell ref="A379:K379"/>
    <mergeCell ref="A382:K382"/>
    <mergeCell ref="A383:K383"/>
    <mergeCell ref="A384:B385"/>
    <mergeCell ref="C384:C385"/>
    <mergeCell ref="D384:D385"/>
    <mergeCell ref="E384:E385"/>
    <mergeCell ref="F384:F385"/>
    <mergeCell ref="G384:G385"/>
    <mergeCell ref="A367:B367"/>
    <mergeCell ref="A368:B368"/>
    <mergeCell ref="A369:B369"/>
    <mergeCell ref="A370:B370"/>
    <mergeCell ref="A375:K375"/>
    <mergeCell ref="A376:K376"/>
    <mergeCell ref="F359:F362"/>
    <mergeCell ref="A360:B360"/>
    <mergeCell ref="A361:B361"/>
    <mergeCell ref="A362:B362"/>
    <mergeCell ref="A363:B363"/>
    <mergeCell ref="F363:F366"/>
    <mergeCell ref="A364:B364"/>
    <mergeCell ref="A365:B365"/>
    <mergeCell ref="A366:B366"/>
    <mergeCell ref="K351:K352"/>
    <mergeCell ref="A353:B353"/>
    <mergeCell ref="A354:F354"/>
    <mergeCell ref="A355:B355"/>
    <mergeCell ref="A356:B356"/>
    <mergeCell ref="A357:B357"/>
    <mergeCell ref="G357:G366"/>
    <mergeCell ref="H357:H366"/>
    <mergeCell ref="A358:B358"/>
    <mergeCell ref="A359:B359"/>
    <mergeCell ref="E351:E352"/>
    <mergeCell ref="F351:F352"/>
    <mergeCell ref="G351:G352"/>
    <mergeCell ref="H351:H352"/>
    <mergeCell ref="I351:I352"/>
    <mergeCell ref="J351:J352"/>
    <mergeCell ref="A348:B348"/>
    <mergeCell ref="A349:B349"/>
    <mergeCell ref="A350:B350"/>
    <mergeCell ref="A351:B352"/>
    <mergeCell ref="C351:C352"/>
    <mergeCell ref="D351:D352"/>
    <mergeCell ref="I341:I342"/>
    <mergeCell ref="J341:J342"/>
    <mergeCell ref="K341:K342"/>
    <mergeCell ref="A343:B343"/>
    <mergeCell ref="A344:B344"/>
    <mergeCell ref="A345:B345"/>
    <mergeCell ref="G345:G347"/>
    <mergeCell ref="H345:H347"/>
    <mergeCell ref="A346:B346"/>
    <mergeCell ref="A347:B347"/>
    <mergeCell ref="A336:K336"/>
    <mergeCell ref="A339:K339"/>
    <mergeCell ref="A340:K340"/>
    <mergeCell ref="A341:B342"/>
    <mergeCell ref="C341:C342"/>
    <mergeCell ref="D341:D342"/>
    <mergeCell ref="E341:E342"/>
    <mergeCell ref="F341:F342"/>
    <mergeCell ref="G341:G342"/>
    <mergeCell ref="H341:H342"/>
    <mergeCell ref="A327:B327"/>
    <mergeCell ref="A328:B328"/>
    <mergeCell ref="A329:B329"/>
    <mergeCell ref="A332:K332"/>
    <mergeCell ref="A333:K333"/>
    <mergeCell ref="A334:K334"/>
    <mergeCell ref="A321:B321"/>
    <mergeCell ref="A322:B322"/>
    <mergeCell ref="A323:B323"/>
    <mergeCell ref="F323:F324"/>
    <mergeCell ref="G323:G327"/>
    <mergeCell ref="H323:H327"/>
    <mergeCell ref="A324:B324"/>
    <mergeCell ref="A325:B325"/>
    <mergeCell ref="A326:B326"/>
    <mergeCell ref="F326:F327"/>
    <mergeCell ref="H317:H318"/>
    <mergeCell ref="I317:I318"/>
    <mergeCell ref="J317:J318"/>
    <mergeCell ref="K317:K318"/>
    <mergeCell ref="A319:B319"/>
    <mergeCell ref="A320:F320"/>
    <mergeCell ref="A313:B313"/>
    <mergeCell ref="A314:I314"/>
    <mergeCell ref="A315:I315"/>
    <mergeCell ref="A316:B316"/>
    <mergeCell ref="A317:B318"/>
    <mergeCell ref="C317:C318"/>
    <mergeCell ref="D317:D318"/>
    <mergeCell ref="E317:E318"/>
    <mergeCell ref="F317:F318"/>
    <mergeCell ref="G317:G318"/>
    <mergeCell ref="A307:B307"/>
    <mergeCell ref="A308:B308"/>
    <mergeCell ref="A309:B309"/>
    <mergeCell ref="A310:B310"/>
    <mergeCell ref="A311:B311"/>
    <mergeCell ref="A312:B312"/>
    <mergeCell ref="A301:B301"/>
    <mergeCell ref="A302:B302"/>
    <mergeCell ref="A303:B303"/>
    <mergeCell ref="A304:B304"/>
    <mergeCell ref="F304:F305"/>
    <mergeCell ref="A305:B305"/>
    <mergeCell ref="A295:B295"/>
    <mergeCell ref="G295:G305"/>
    <mergeCell ref="H295:H305"/>
    <mergeCell ref="A296:B296"/>
    <mergeCell ref="F296:F298"/>
    <mergeCell ref="A297:B297"/>
    <mergeCell ref="A298:B298"/>
    <mergeCell ref="A299:B299"/>
    <mergeCell ref="A300:B300"/>
    <mergeCell ref="F300:F303"/>
    <mergeCell ref="H291:H292"/>
    <mergeCell ref="I291:I292"/>
    <mergeCell ref="J291:J292"/>
    <mergeCell ref="K291:K292"/>
    <mergeCell ref="A293:B293"/>
    <mergeCell ref="A294:B294"/>
    <mergeCell ref="A291:B292"/>
    <mergeCell ref="C291:C292"/>
    <mergeCell ref="D291:D292"/>
    <mergeCell ref="E291:E292"/>
    <mergeCell ref="F291:F292"/>
    <mergeCell ref="G291:G292"/>
    <mergeCell ref="A282:K282"/>
    <mergeCell ref="A283:K283"/>
    <mergeCell ref="A284:K284"/>
    <mergeCell ref="A286:K286"/>
    <mergeCell ref="A289:K289"/>
    <mergeCell ref="A290:K290"/>
    <mergeCell ref="A274:B274"/>
    <mergeCell ref="A275:B275"/>
    <mergeCell ref="A276:B276"/>
    <mergeCell ref="A277:B277"/>
    <mergeCell ref="A278:B278"/>
    <mergeCell ref="A279:B279"/>
    <mergeCell ref="A267:F267"/>
    <mergeCell ref="A268:B268"/>
    <mergeCell ref="A269:B269"/>
    <mergeCell ref="A270:B270"/>
    <mergeCell ref="G270:G277"/>
    <mergeCell ref="H270:H277"/>
    <mergeCell ref="A271:B271"/>
    <mergeCell ref="A272:B272"/>
    <mergeCell ref="A273:B273"/>
    <mergeCell ref="F273:F277"/>
    <mergeCell ref="G264:G265"/>
    <mergeCell ref="H264:H265"/>
    <mergeCell ref="I264:I265"/>
    <mergeCell ref="J264:J265"/>
    <mergeCell ref="K264:K265"/>
    <mergeCell ref="A266:B266"/>
    <mergeCell ref="A256:K256"/>
    <mergeCell ref="A257:K257"/>
    <mergeCell ref="A259:K259"/>
    <mergeCell ref="A262:K262"/>
    <mergeCell ref="A263:K263"/>
    <mergeCell ref="A264:B265"/>
    <mergeCell ref="C264:C265"/>
    <mergeCell ref="D264:D265"/>
    <mergeCell ref="E264:E265"/>
    <mergeCell ref="F264:F265"/>
    <mergeCell ref="A250:B250"/>
    <mergeCell ref="F250:F251"/>
    <mergeCell ref="G250:G251"/>
    <mergeCell ref="H250:H251"/>
    <mergeCell ref="A251:B251"/>
    <mergeCell ref="A255:K255"/>
    <mergeCell ref="A244:B244"/>
    <mergeCell ref="A245:B245"/>
    <mergeCell ref="A246:B246"/>
    <mergeCell ref="A247:B247"/>
    <mergeCell ref="A248:B248"/>
    <mergeCell ref="A249:B249"/>
    <mergeCell ref="A236:B236"/>
    <mergeCell ref="A237:B237"/>
    <mergeCell ref="F237:F239"/>
    <mergeCell ref="A238:B238"/>
    <mergeCell ref="A239:B239"/>
    <mergeCell ref="A240:B240"/>
    <mergeCell ref="F240:F242"/>
    <mergeCell ref="A241:B241"/>
    <mergeCell ref="A242:B242"/>
    <mergeCell ref="A229:B229"/>
    <mergeCell ref="A230:B230"/>
    <mergeCell ref="G230:G242"/>
    <mergeCell ref="H230:H242"/>
    <mergeCell ref="A231:B231"/>
    <mergeCell ref="F231:F235"/>
    <mergeCell ref="A232:B232"/>
    <mergeCell ref="A233:B233"/>
    <mergeCell ref="A234:B234"/>
    <mergeCell ref="A235:B235"/>
    <mergeCell ref="G226:G227"/>
    <mergeCell ref="H226:H227"/>
    <mergeCell ref="I226:I227"/>
    <mergeCell ref="J226:J227"/>
    <mergeCell ref="K226:K227"/>
    <mergeCell ref="A228:B228"/>
    <mergeCell ref="A225:B225"/>
    <mergeCell ref="A226:B227"/>
    <mergeCell ref="C226:C227"/>
    <mergeCell ref="D226:D227"/>
    <mergeCell ref="E226:E227"/>
    <mergeCell ref="F226:F227"/>
    <mergeCell ref="A218:B218"/>
    <mergeCell ref="A219:B219"/>
    <mergeCell ref="A220:B220"/>
    <mergeCell ref="A221:B221"/>
    <mergeCell ref="A222:H222"/>
    <mergeCell ref="A223:H223"/>
    <mergeCell ref="A213:B213"/>
    <mergeCell ref="A214:B214"/>
    <mergeCell ref="G214:G216"/>
    <mergeCell ref="H214:H216"/>
    <mergeCell ref="A215:B215"/>
    <mergeCell ref="A216:B216"/>
    <mergeCell ref="I208:I209"/>
    <mergeCell ref="J208:J209"/>
    <mergeCell ref="K208:K209"/>
    <mergeCell ref="A210:B210"/>
    <mergeCell ref="A211:B211"/>
    <mergeCell ref="A212:B212"/>
    <mergeCell ref="A203:K203"/>
    <mergeCell ref="A206:K206"/>
    <mergeCell ref="A207:K207"/>
    <mergeCell ref="A208:B209"/>
    <mergeCell ref="C208:C209"/>
    <mergeCell ref="D208:D209"/>
    <mergeCell ref="E208:E209"/>
    <mergeCell ref="F208:F209"/>
    <mergeCell ref="G208:G209"/>
    <mergeCell ref="H208:H209"/>
    <mergeCell ref="B192:F192"/>
    <mergeCell ref="B193:F193"/>
    <mergeCell ref="B194:F194"/>
    <mergeCell ref="A199:K199"/>
    <mergeCell ref="A200:K200"/>
    <mergeCell ref="A201:K201"/>
    <mergeCell ref="B186:F186"/>
    <mergeCell ref="B187:F187"/>
    <mergeCell ref="B188:F188"/>
    <mergeCell ref="B189:F189"/>
    <mergeCell ref="B190:F190"/>
    <mergeCell ref="B191:F191"/>
    <mergeCell ref="B180:F180"/>
    <mergeCell ref="B181:F181"/>
    <mergeCell ref="B182:F182"/>
    <mergeCell ref="B183:F183"/>
    <mergeCell ref="B184:F184"/>
    <mergeCell ref="B185:F185"/>
    <mergeCell ref="B174:F174"/>
    <mergeCell ref="B175:F175"/>
    <mergeCell ref="B176:F176"/>
    <mergeCell ref="B177:F177"/>
    <mergeCell ref="B178:F178"/>
    <mergeCell ref="B179:F179"/>
    <mergeCell ref="B168:F168"/>
    <mergeCell ref="B169:F169"/>
    <mergeCell ref="B170:F170"/>
    <mergeCell ref="B171:F171"/>
    <mergeCell ref="B172:F172"/>
    <mergeCell ref="B173:F173"/>
    <mergeCell ref="B161:F161"/>
    <mergeCell ref="B162:F162"/>
    <mergeCell ref="B163:F163"/>
    <mergeCell ref="B164:F164"/>
    <mergeCell ref="B166:F166"/>
    <mergeCell ref="B167:F167"/>
    <mergeCell ref="B155:F155"/>
    <mergeCell ref="B156:F156"/>
    <mergeCell ref="B157:F157"/>
    <mergeCell ref="B158:F158"/>
    <mergeCell ref="B159:F159"/>
    <mergeCell ref="B160:F160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A133:K133"/>
    <mergeCell ref="A134:K134"/>
    <mergeCell ref="A135:A136"/>
    <mergeCell ref="B135:B136"/>
    <mergeCell ref="G135:G136"/>
    <mergeCell ref="H135:H136"/>
    <mergeCell ref="I135:I136"/>
    <mergeCell ref="J135:J136"/>
    <mergeCell ref="K135:K136"/>
    <mergeCell ref="B122:F122"/>
    <mergeCell ref="B123:F123"/>
    <mergeCell ref="A126:K126"/>
    <mergeCell ref="A127:K127"/>
    <mergeCell ref="A128:K128"/>
    <mergeCell ref="A130:K130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80:F80"/>
    <mergeCell ref="B81:F81"/>
    <mergeCell ref="B82:F82"/>
    <mergeCell ref="B83:F83"/>
    <mergeCell ref="B84:F84"/>
    <mergeCell ref="B85:F85"/>
    <mergeCell ref="B74:F74"/>
    <mergeCell ref="B75:F75"/>
    <mergeCell ref="B76:F76"/>
    <mergeCell ref="B77:F77"/>
    <mergeCell ref="B78:F78"/>
    <mergeCell ref="B79:F79"/>
    <mergeCell ref="A70:K70"/>
    <mergeCell ref="A71:K71"/>
    <mergeCell ref="A72:A73"/>
    <mergeCell ref="B72:B73"/>
    <mergeCell ref="G72:G73"/>
    <mergeCell ref="H72:H73"/>
    <mergeCell ref="I72:I73"/>
    <mergeCell ref="J72:J73"/>
    <mergeCell ref="K72:K73"/>
    <mergeCell ref="B60:F60"/>
    <mergeCell ref="B61:F61"/>
    <mergeCell ref="A63:K63"/>
    <mergeCell ref="A64:K64"/>
    <mergeCell ref="A65:K65"/>
    <mergeCell ref="A67:K67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K10:K11"/>
    <mergeCell ref="B12:F12"/>
    <mergeCell ref="B13:F13"/>
    <mergeCell ref="B14:F14"/>
    <mergeCell ref="B15:F15"/>
    <mergeCell ref="B17:F17"/>
    <mergeCell ref="A10:A11"/>
    <mergeCell ref="B10:B11"/>
    <mergeCell ref="G10:G11"/>
    <mergeCell ref="H10:H11"/>
    <mergeCell ref="I10:I11"/>
    <mergeCell ref="J10:J11"/>
    <mergeCell ref="A1:K1"/>
    <mergeCell ref="A2:K2"/>
    <mergeCell ref="A3:K3"/>
    <mergeCell ref="A5:K5"/>
    <mergeCell ref="A8:K8"/>
    <mergeCell ref="A9:K9"/>
    <mergeCell ref="B16:F16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10" firstPageNumber="8" orientation="landscape" useFirstPageNumber="1" verticalDpi="300" r:id="rId1"/>
  <headerFooter alignWithMargins="0"/>
  <rowBreaks count="8" manualBreakCount="8">
    <brk id="62" max="10" man="1"/>
    <brk id="125" max="10" man="1"/>
    <brk id="866" max="10" man="1"/>
    <brk id="906" max="10" man="1"/>
    <brk id="948" max="10" man="1"/>
    <brk id="993" max="10" man="1"/>
    <brk id="1037" max="10" man="1"/>
    <brk id="1066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M1142"/>
  <sheetViews>
    <sheetView showGridLines="0" view="pageBreakPreview" zoomScale="22" zoomScaleNormal="30" zoomScaleSheetLayoutView="22" zoomScalePageLayoutView="25" workbookViewId="0">
      <selection sqref="A1:K1"/>
    </sheetView>
  </sheetViews>
  <sheetFormatPr defaultRowHeight="35.1" customHeight="1"/>
  <cols>
    <col min="1" max="1" width="122.28515625" style="41" customWidth="1"/>
    <col min="2" max="2" width="256" style="27" customWidth="1"/>
    <col min="3" max="3" width="105.42578125" style="27" customWidth="1"/>
    <col min="4" max="4" width="38.85546875" style="27" customWidth="1"/>
    <col min="5" max="5" width="212" style="27" customWidth="1"/>
    <col min="6" max="6" width="98.7109375" style="11" customWidth="1"/>
    <col min="7" max="7" width="51.7109375" style="11" customWidth="1"/>
    <col min="8" max="8" width="62.42578125" style="11" customWidth="1"/>
    <col min="9" max="9" width="98.42578125" style="11" customWidth="1"/>
    <col min="10" max="10" width="89.42578125" style="11" customWidth="1"/>
    <col min="11" max="11" width="92.28515625" style="11" customWidth="1"/>
    <col min="12" max="12" width="55" style="27" customWidth="1"/>
    <col min="13" max="13" width="53" style="27" bestFit="1" customWidth="1"/>
    <col min="14" max="14" width="9.140625" style="27"/>
    <col min="15" max="15" width="20.5703125" style="27" bestFit="1" customWidth="1"/>
    <col min="16" max="16384" width="9.140625" style="27"/>
  </cols>
  <sheetData>
    <row r="1" spans="1:11" ht="45">
      <c r="A1" s="979" t="s">
        <v>51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</row>
    <row r="2" spans="1:11" ht="45">
      <c r="A2" s="979" t="s">
        <v>52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</row>
    <row r="3" spans="1:11" ht="45">
      <c r="A3" s="1040" t="s">
        <v>50</v>
      </c>
      <c r="B3" s="1040"/>
      <c r="C3" s="1040"/>
      <c r="D3" s="1040"/>
      <c r="E3" s="1040"/>
      <c r="F3" s="1040"/>
      <c r="G3" s="1040"/>
      <c r="H3" s="1040"/>
      <c r="I3" s="1040"/>
      <c r="J3" s="1040"/>
      <c r="K3" s="1040"/>
    </row>
    <row r="4" spans="1:11" ht="44.25">
      <c r="A4" s="736"/>
      <c r="B4" s="736"/>
      <c r="C4" s="736"/>
      <c r="D4" s="736"/>
      <c r="E4" s="736"/>
      <c r="F4" s="736"/>
      <c r="G4" s="838"/>
      <c r="H4" s="838"/>
      <c r="I4" s="838"/>
      <c r="J4" s="838"/>
      <c r="K4" s="838"/>
    </row>
    <row r="5" spans="1:11" ht="45">
      <c r="A5" s="979" t="s">
        <v>2214</v>
      </c>
      <c r="B5" s="979"/>
      <c r="C5" s="979"/>
      <c r="D5" s="979"/>
      <c r="E5" s="979"/>
      <c r="F5" s="979"/>
      <c r="G5" s="979"/>
      <c r="H5" s="979"/>
      <c r="I5" s="979"/>
      <c r="J5" s="979"/>
      <c r="K5" s="979"/>
    </row>
    <row r="6" spans="1:11" s="620" customFormat="1" ht="33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1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1" ht="20.100000000000001" customHeight="1">
      <c r="A8" s="979"/>
      <c r="B8" s="979"/>
      <c r="C8" s="979"/>
      <c r="D8" s="979"/>
      <c r="E8" s="979"/>
      <c r="F8" s="979"/>
      <c r="G8" s="979"/>
      <c r="H8" s="979"/>
      <c r="I8" s="979"/>
      <c r="J8" s="979"/>
      <c r="K8" s="979"/>
    </row>
    <row r="9" spans="1:11" ht="45.75" customHeight="1">
      <c r="A9" s="1029" t="s">
        <v>2492</v>
      </c>
      <c r="B9" s="1030"/>
      <c r="C9" s="1030"/>
      <c r="D9" s="1030"/>
      <c r="E9" s="1030"/>
      <c r="F9" s="1030"/>
      <c r="G9" s="1030"/>
      <c r="H9" s="1030"/>
      <c r="I9" s="1030"/>
      <c r="J9" s="1030"/>
      <c r="K9" s="1030"/>
    </row>
    <row r="10" spans="1:11" s="904" customFormat="1" ht="64.5" customHeight="1">
      <c r="A10" s="1094" t="s">
        <v>183</v>
      </c>
      <c r="B10" s="1094" t="s">
        <v>209</v>
      </c>
      <c r="C10" s="886"/>
      <c r="D10" s="886"/>
      <c r="E10" s="886"/>
      <c r="F10" s="887"/>
      <c r="G10" s="1078" t="s">
        <v>440</v>
      </c>
      <c r="H10" s="1080" t="s">
        <v>16</v>
      </c>
      <c r="I10" s="1082" t="s">
        <v>1490</v>
      </c>
      <c r="J10" s="1082" t="s">
        <v>2507</v>
      </c>
      <c r="K10" s="1089" t="s">
        <v>200</v>
      </c>
    </row>
    <row r="11" spans="1:11" s="904" customFormat="1" ht="64.5" customHeight="1">
      <c r="A11" s="1095"/>
      <c r="B11" s="1095"/>
      <c r="C11" s="888"/>
      <c r="D11" s="888"/>
      <c r="E11" s="888"/>
      <c r="F11" s="889"/>
      <c r="G11" s="1079"/>
      <c r="H11" s="1081"/>
      <c r="I11" s="1082"/>
      <c r="J11" s="1082"/>
      <c r="K11" s="1090"/>
    </row>
    <row r="12" spans="1:11" s="872" customFormat="1" ht="64.5" customHeight="1">
      <c r="A12" s="890"/>
      <c r="B12" s="1091" t="s">
        <v>1970</v>
      </c>
      <c r="C12" s="1092"/>
      <c r="D12" s="1092"/>
      <c r="E12" s="1092"/>
      <c r="F12" s="1093"/>
      <c r="G12" s="891"/>
      <c r="H12" s="892"/>
      <c r="I12" s="871">
        <f>SUM(I13:I15)</f>
        <v>108133.20000000001</v>
      </c>
      <c r="J12" s="871">
        <f>SUM(J13:J15)</f>
        <v>72088.799999999988</v>
      </c>
      <c r="K12" s="871">
        <f t="shared" ref="K12:K61" si="0">I12+J12</f>
        <v>180222</v>
      </c>
    </row>
    <row r="13" spans="1:11" s="874" customFormat="1" ht="64.5" customHeight="1">
      <c r="A13" s="893" t="s">
        <v>2204</v>
      </c>
      <c r="B13" s="1083" t="s">
        <v>2205</v>
      </c>
      <c r="C13" s="1084"/>
      <c r="D13" s="1084"/>
      <c r="E13" s="1084"/>
      <c r="F13" s="1085"/>
      <c r="G13" s="894">
        <v>8100</v>
      </c>
      <c r="H13" s="895">
        <v>169711</v>
      </c>
      <c r="I13" s="873">
        <f>I734</f>
        <v>33599.4</v>
      </c>
      <c r="J13" s="873">
        <f>J734</f>
        <v>22399.599999999999</v>
      </c>
      <c r="K13" s="873">
        <f t="shared" si="0"/>
        <v>55999</v>
      </c>
    </row>
    <row r="14" spans="1:11" s="874" customFormat="1" ht="64.5" customHeight="1">
      <c r="A14" s="893" t="s">
        <v>193</v>
      </c>
      <c r="B14" s="1083" t="s">
        <v>1476</v>
      </c>
      <c r="C14" s="1084"/>
      <c r="D14" s="1084"/>
      <c r="E14" s="1084"/>
      <c r="F14" s="1085"/>
      <c r="G14" s="894">
        <v>8100</v>
      </c>
      <c r="H14" s="896" t="s">
        <v>2445</v>
      </c>
      <c r="I14" s="873">
        <f>I739</f>
        <v>3000</v>
      </c>
      <c r="J14" s="873">
        <f>J739</f>
        <v>2000</v>
      </c>
      <c r="K14" s="873">
        <f t="shared" si="0"/>
        <v>5000</v>
      </c>
    </row>
    <row r="15" spans="1:11" s="874" customFormat="1" ht="64.5" customHeight="1">
      <c r="A15" s="893" t="s">
        <v>194</v>
      </c>
      <c r="B15" s="1083" t="s">
        <v>199</v>
      </c>
      <c r="C15" s="1084"/>
      <c r="D15" s="1084"/>
      <c r="E15" s="1084"/>
      <c r="F15" s="1085"/>
      <c r="G15" s="894">
        <v>8100</v>
      </c>
      <c r="H15" s="895">
        <v>169711</v>
      </c>
      <c r="I15" s="873">
        <f>I741</f>
        <v>71533.8</v>
      </c>
      <c r="J15" s="873">
        <f>J741</f>
        <v>47689.2</v>
      </c>
      <c r="K15" s="873">
        <f t="shared" si="0"/>
        <v>119223</v>
      </c>
    </row>
    <row r="16" spans="1:11" s="872" customFormat="1" ht="64.5" customHeight="1">
      <c r="A16" s="890"/>
      <c r="B16" s="897" t="s">
        <v>2116</v>
      </c>
      <c r="C16" s="898"/>
      <c r="D16" s="898"/>
      <c r="E16" s="898"/>
      <c r="F16" s="899"/>
      <c r="G16" s="891"/>
      <c r="H16" s="892"/>
      <c r="I16" s="871">
        <f>SUM(I17:I19)</f>
        <v>40920</v>
      </c>
      <c r="J16" s="871">
        <f>SUM(J17:J19)</f>
        <v>27280</v>
      </c>
      <c r="K16" s="871">
        <f t="shared" si="0"/>
        <v>68200</v>
      </c>
    </row>
    <row r="17" spans="1:11" s="874" customFormat="1" ht="64.5" customHeight="1">
      <c r="A17" s="893" t="s">
        <v>2204</v>
      </c>
      <c r="B17" s="1083" t="s">
        <v>2205</v>
      </c>
      <c r="C17" s="1084"/>
      <c r="D17" s="1084"/>
      <c r="E17" s="1084"/>
      <c r="F17" s="1085"/>
      <c r="G17" s="894">
        <v>8100</v>
      </c>
      <c r="H17" s="895">
        <v>169711</v>
      </c>
      <c r="I17" s="873">
        <f>I889</f>
        <v>32050.799999999999</v>
      </c>
      <c r="J17" s="873">
        <f>J889</f>
        <v>21367.200000000001</v>
      </c>
      <c r="K17" s="873">
        <f t="shared" si="0"/>
        <v>53418</v>
      </c>
    </row>
    <row r="18" spans="1:11" s="874" customFormat="1" ht="64.5" customHeight="1">
      <c r="A18" s="893" t="s">
        <v>193</v>
      </c>
      <c r="B18" s="1083" t="s">
        <v>1476</v>
      </c>
      <c r="C18" s="1084"/>
      <c r="D18" s="1084"/>
      <c r="E18" s="1084"/>
      <c r="F18" s="1085"/>
      <c r="G18" s="894">
        <v>8100</v>
      </c>
      <c r="H18" s="896" t="s">
        <v>2445</v>
      </c>
      <c r="I18" s="873">
        <f>I896</f>
        <v>2869.2</v>
      </c>
      <c r="J18" s="873">
        <f>J896</f>
        <v>1912.8</v>
      </c>
      <c r="K18" s="873">
        <f t="shared" si="0"/>
        <v>4782</v>
      </c>
    </row>
    <row r="19" spans="1:11" s="874" customFormat="1" ht="64.5" customHeight="1">
      <c r="A19" s="893" t="s">
        <v>244</v>
      </c>
      <c r="B19" s="1083" t="s">
        <v>266</v>
      </c>
      <c r="C19" s="1084"/>
      <c r="D19" s="1084"/>
      <c r="E19" s="1084"/>
      <c r="F19" s="1085"/>
      <c r="G19" s="894">
        <v>8100</v>
      </c>
      <c r="H19" s="895">
        <v>169711</v>
      </c>
      <c r="I19" s="873">
        <f>I898</f>
        <v>6000</v>
      </c>
      <c r="J19" s="873">
        <f>J898</f>
        <v>4000</v>
      </c>
      <c r="K19" s="873">
        <f t="shared" si="0"/>
        <v>10000</v>
      </c>
    </row>
    <row r="20" spans="1:11" s="872" customFormat="1" ht="64.5" customHeight="1">
      <c r="A20" s="890"/>
      <c r="B20" s="1086" t="s">
        <v>2191</v>
      </c>
      <c r="C20" s="1087"/>
      <c r="D20" s="1087"/>
      <c r="E20" s="1087"/>
      <c r="F20" s="1088"/>
      <c r="G20" s="891"/>
      <c r="H20" s="892"/>
      <c r="I20" s="871">
        <f>SUM(I21:I23)</f>
        <v>135962.4</v>
      </c>
      <c r="J20" s="871">
        <f>SUM(J21:J23)</f>
        <v>90641.600000000006</v>
      </c>
      <c r="K20" s="871">
        <f t="shared" si="0"/>
        <v>226604</v>
      </c>
    </row>
    <row r="21" spans="1:11" s="874" customFormat="1" ht="64.5" customHeight="1">
      <c r="A21" s="893" t="s">
        <v>2204</v>
      </c>
      <c r="B21" s="1083" t="s">
        <v>2205</v>
      </c>
      <c r="C21" s="1084"/>
      <c r="D21" s="1084"/>
      <c r="E21" s="1084"/>
      <c r="F21" s="1085"/>
      <c r="G21" s="894">
        <v>8100</v>
      </c>
      <c r="H21" s="895">
        <v>169711</v>
      </c>
      <c r="I21" s="873">
        <f>I905</f>
        <v>110462.39999999999</v>
      </c>
      <c r="J21" s="873">
        <f>J905</f>
        <v>73641.600000000006</v>
      </c>
      <c r="K21" s="873">
        <f t="shared" si="0"/>
        <v>184104</v>
      </c>
    </row>
    <row r="22" spans="1:11" s="874" customFormat="1" ht="64.5" customHeight="1">
      <c r="A22" s="893" t="s">
        <v>193</v>
      </c>
      <c r="B22" s="1083" t="s">
        <v>1476</v>
      </c>
      <c r="C22" s="1084"/>
      <c r="D22" s="1084"/>
      <c r="E22" s="1084"/>
      <c r="F22" s="1085"/>
      <c r="G22" s="894">
        <v>8100</v>
      </c>
      <c r="H22" s="896" t="s">
        <v>2445</v>
      </c>
      <c r="I22" s="873">
        <f>I910</f>
        <v>12000</v>
      </c>
      <c r="J22" s="873">
        <f>J910</f>
        <v>8000</v>
      </c>
      <c r="K22" s="873">
        <f t="shared" si="0"/>
        <v>20000</v>
      </c>
    </row>
    <row r="23" spans="1:11" s="874" customFormat="1" ht="64.5" customHeight="1">
      <c r="A23" s="893" t="s">
        <v>244</v>
      </c>
      <c r="B23" s="1083" t="s">
        <v>266</v>
      </c>
      <c r="C23" s="1084"/>
      <c r="D23" s="1084"/>
      <c r="E23" s="1084"/>
      <c r="F23" s="1085"/>
      <c r="G23" s="894">
        <v>8100</v>
      </c>
      <c r="H23" s="895">
        <v>169711</v>
      </c>
      <c r="I23" s="873">
        <f>I912</f>
        <v>13500</v>
      </c>
      <c r="J23" s="873">
        <f>J912</f>
        <v>9000</v>
      </c>
      <c r="K23" s="873">
        <f t="shared" si="0"/>
        <v>22500</v>
      </c>
    </row>
    <row r="24" spans="1:11" s="872" customFormat="1" ht="64.5" customHeight="1">
      <c r="A24" s="890"/>
      <c r="B24" s="1086" t="s">
        <v>1803</v>
      </c>
      <c r="C24" s="1087"/>
      <c r="D24" s="1087"/>
      <c r="E24" s="1087"/>
      <c r="F24" s="1088"/>
      <c r="G24" s="891"/>
      <c r="H24" s="892"/>
      <c r="I24" s="871">
        <f>SUM(I25:I27)</f>
        <v>148380</v>
      </c>
      <c r="J24" s="871">
        <f>SUM(J25:J27)</f>
        <v>98920</v>
      </c>
      <c r="K24" s="871">
        <f t="shared" si="0"/>
        <v>247300</v>
      </c>
    </row>
    <row r="25" spans="1:11" s="874" customFormat="1" ht="64.5" customHeight="1">
      <c r="A25" s="893" t="s">
        <v>2275</v>
      </c>
      <c r="B25" s="1083" t="s">
        <v>2212</v>
      </c>
      <c r="C25" s="1084"/>
      <c r="D25" s="1084"/>
      <c r="E25" s="1084"/>
      <c r="F25" s="1085"/>
      <c r="G25" s="894">
        <v>8100</v>
      </c>
      <c r="H25" s="895">
        <v>169711</v>
      </c>
      <c r="I25" s="873">
        <f>I277</f>
        <v>57310.799999999996</v>
      </c>
      <c r="J25" s="873">
        <f>J277</f>
        <v>38207.199999999997</v>
      </c>
      <c r="K25" s="873">
        <f t="shared" si="0"/>
        <v>95518</v>
      </c>
    </row>
    <row r="26" spans="1:11" s="874" customFormat="1" ht="64.5" customHeight="1">
      <c r="A26" s="893" t="s">
        <v>2204</v>
      </c>
      <c r="B26" s="1083" t="s">
        <v>2205</v>
      </c>
      <c r="C26" s="1084"/>
      <c r="D26" s="1084"/>
      <c r="E26" s="1084"/>
      <c r="F26" s="1085"/>
      <c r="G26" s="894">
        <v>8100</v>
      </c>
      <c r="H26" s="895">
        <v>169711</v>
      </c>
      <c r="I26" s="873">
        <f>I279</f>
        <v>74269.2</v>
      </c>
      <c r="J26" s="873">
        <f>J279</f>
        <v>49512.800000000003</v>
      </c>
      <c r="K26" s="873">
        <f t="shared" si="0"/>
        <v>123782</v>
      </c>
    </row>
    <row r="27" spans="1:11" s="874" customFormat="1" ht="64.5" customHeight="1">
      <c r="A27" s="893" t="s">
        <v>244</v>
      </c>
      <c r="B27" s="1083" t="s">
        <v>266</v>
      </c>
      <c r="C27" s="1084"/>
      <c r="D27" s="1084"/>
      <c r="E27" s="1084"/>
      <c r="F27" s="1085"/>
      <c r="G27" s="894">
        <v>8100</v>
      </c>
      <c r="H27" s="895">
        <v>169711</v>
      </c>
      <c r="I27" s="873">
        <f>I288</f>
        <v>16800</v>
      </c>
      <c r="J27" s="873">
        <f>J288</f>
        <v>11200</v>
      </c>
      <c r="K27" s="873">
        <f t="shared" si="0"/>
        <v>28000</v>
      </c>
    </row>
    <row r="28" spans="1:11" s="872" customFormat="1" ht="64.5" customHeight="1">
      <c r="A28" s="890"/>
      <c r="B28" s="1086" t="s">
        <v>1952</v>
      </c>
      <c r="C28" s="1087"/>
      <c r="D28" s="1087"/>
      <c r="E28" s="1087"/>
      <c r="F28" s="1088"/>
      <c r="G28" s="891"/>
      <c r="H28" s="892"/>
      <c r="I28" s="871">
        <f>SUM(I29:I31)</f>
        <v>66321</v>
      </c>
      <c r="J28" s="871">
        <f>SUM(J29:J31)</f>
        <v>44214</v>
      </c>
      <c r="K28" s="871">
        <f t="shared" si="0"/>
        <v>110535</v>
      </c>
    </row>
    <row r="29" spans="1:11" s="874" customFormat="1" ht="64.5" customHeight="1">
      <c r="A29" s="893" t="s">
        <v>2204</v>
      </c>
      <c r="B29" s="1083" t="s">
        <v>2205</v>
      </c>
      <c r="C29" s="1084"/>
      <c r="D29" s="1084"/>
      <c r="E29" s="1084"/>
      <c r="F29" s="1085"/>
      <c r="G29" s="894">
        <v>8100</v>
      </c>
      <c r="H29" s="895">
        <v>169711</v>
      </c>
      <c r="I29" s="873">
        <f>I747</f>
        <v>58341</v>
      </c>
      <c r="J29" s="873">
        <f>J747</f>
        <v>38894</v>
      </c>
      <c r="K29" s="873">
        <f t="shared" si="0"/>
        <v>97235</v>
      </c>
    </row>
    <row r="30" spans="1:11" s="874" customFormat="1" ht="64.5" customHeight="1">
      <c r="A30" s="893" t="s">
        <v>193</v>
      </c>
      <c r="B30" s="1083" t="s">
        <v>1476</v>
      </c>
      <c r="C30" s="1084"/>
      <c r="D30" s="1084"/>
      <c r="E30" s="1084"/>
      <c r="F30" s="1085"/>
      <c r="G30" s="894">
        <v>8100</v>
      </c>
      <c r="H30" s="896" t="s">
        <v>2445</v>
      </c>
      <c r="I30" s="873">
        <f>I753</f>
        <v>5580</v>
      </c>
      <c r="J30" s="873">
        <f>J753</f>
        <v>3720</v>
      </c>
      <c r="K30" s="873">
        <f t="shared" si="0"/>
        <v>9300</v>
      </c>
    </row>
    <row r="31" spans="1:11" s="874" customFormat="1" ht="64.5" customHeight="1">
      <c r="A31" s="893" t="s">
        <v>244</v>
      </c>
      <c r="B31" s="1083" t="s">
        <v>266</v>
      </c>
      <c r="C31" s="1084"/>
      <c r="D31" s="1084"/>
      <c r="E31" s="1084"/>
      <c r="F31" s="1085"/>
      <c r="G31" s="894">
        <v>8100</v>
      </c>
      <c r="H31" s="895">
        <v>169711</v>
      </c>
      <c r="I31" s="873">
        <f>I755</f>
        <v>2400</v>
      </c>
      <c r="J31" s="873">
        <f>J755</f>
        <v>1600</v>
      </c>
      <c r="K31" s="873">
        <f t="shared" si="0"/>
        <v>4000</v>
      </c>
    </row>
    <row r="32" spans="1:11" s="872" customFormat="1" ht="64.5" customHeight="1">
      <c r="A32" s="890"/>
      <c r="B32" s="1086" t="s">
        <v>2156</v>
      </c>
      <c r="C32" s="1087"/>
      <c r="D32" s="1087"/>
      <c r="E32" s="1087"/>
      <c r="F32" s="1088"/>
      <c r="G32" s="891"/>
      <c r="H32" s="892"/>
      <c r="I32" s="871">
        <f>SUM(I33:I35)</f>
        <v>44463</v>
      </c>
      <c r="J32" s="871">
        <f>SUM(J33:J35)</f>
        <v>29642</v>
      </c>
      <c r="K32" s="871">
        <f t="shared" si="0"/>
        <v>74105</v>
      </c>
    </row>
    <row r="33" spans="1:11" s="874" customFormat="1" ht="64.5" customHeight="1">
      <c r="A33" s="893" t="s">
        <v>2204</v>
      </c>
      <c r="B33" s="1083" t="s">
        <v>2205</v>
      </c>
      <c r="C33" s="1084"/>
      <c r="D33" s="1084"/>
      <c r="E33" s="1084"/>
      <c r="F33" s="1085"/>
      <c r="G33" s="894">
        <v>8100</v>
      </c>
      <c r="H33" s="895">
        <v>169711</v>
      </c>
      <c r="I33" s="873">
        <f>I931</f>
        <v>32463</v>
      </c>
      <c r="J33" s="873">
        <f>J931</f>
        <v>21642</v>
      </c>
      <c r="K33" s="873">
        <f t="shared" si="0"/>
        <v>54105</v>
      </c>
    </row>
    <row r="34" spans="1:11" s="874" customFormat="1" ht="64.5" customHeight="1">
      <c r="A34" s="893" t="s">
        <v>193</v>
      </c>
      <c r="B34" s="1083" t="s">
        <v>1476</v>
      </c>
      <c r="C34" s="1084"/>
      <c r="D34" s="1084"/>
      <c r="E34" s="1084"/>
      <c r="F34" s="1085"/>
      <c r="G34" s="894">
        <v>8100</v>
      </c>
      <c r="H34" s="896" t="s">
        <v>2445</v>
      </c>
      <c r="I34" s="873">
        <f>I938</f>
        <v>6000</v>
      </c>
      <c r="J34" s="873">
        <f>J938</f>
        <v>4000</v>
      </c>
      <c r="K34" s="873">
        <f t="shared" si="0"/>
        <v>10000</v>
      </c>
    </row>
    <row r="35" spans="1:11" s="874" customFormat="1" ht="64.5" customHeight="1">
      <c r="A35" s="893" t="s">
        <v>244</v>
      </c>
      <c r="B35" s="1083" t="s">
        <v>266</v>
      </c>
      <c r="C35" s="1084"/>
      <c r="D35" s="1084"/>
      <c r="E35" s="1084"/>
      <c r="F35" s="1085"/>
      <c r="G35" s="894">
        <v>8100</v>
      </c>
      <c r="H35" s="895">
        <v>169711</v>
      </c>
      <c r="I35" s="873">
        <f>I940</f>
        <v>6000</v>
      </c>
      <c r="J35" s="873">
        <f>J940</f>
        <v>4000</v>
      </c>
      <c r="K35" s="873">
        <f t="shared" si="0"/>
        <v>10000</v>
      </c>
    </row>
    <row r="36" spans="1:11" s="872" customFormat="1" ht="64.5" customHeight="1">
      <c r="A36" s="890"/>
      <c r="B36" s="1086" t="s">
        <v>1947</v>
      </c>
      <c r="C36" s="1087"/>
      <c r="D36" s="1087"/>
      <c r="E36" s="1087"/>
      <c r="F36" s="1088"/>
      <c r="G36" s="891"/>
      <c r="H36" s="892"/>
      <c r="I36" s="871">
        <f>SUM(I37:I37)</f>
        <v>41142.6</v>
      </c>
      <c r="J36" s="871">
        <f>SUM(J37:J37)</f>
        <v>27428.399999999998</v>
      </c>
      <c r="K36" s="871">
        <f t="shared" si="0"/>
        <v>68571</v>
      </c>
    </row>
    <row r="37" spans="1:11" s="874" customFormat="1" ht="64.5" customHeight="1">
      <c r="A37" s="893" t="s">
        <v>2204</v>
      </c>
      <c r="B37" s="1083" t="s">
        <v>2205</v>
      </c>
      <c r="C37" s="1084"/>
      <c r="D37" s="1084"/>
      <c r="E37" s="1084"/>
      <c r="F37" s="1085"/>
      <c r="G37" s="894">
        <v>8100</v>
      </c>
      <c r="H37" s="895">
        <v>169711</v>
      </c>
      <c r="I37" s="873">
        <f>I761</f>
        <v>41142.6</v>
      </c>
      <c r="J37" s="873">
        <f>J761</f>
        <v>27428.399999999998</v>
      </c>
      <c r="K37" s="873">
        <f t="shared" si="0"/>
        <v>68571</v>
      </c>
    </row>
    <row r="38" spans="1:11" s="872" customFormat="1" ht="64.5" customHeight="1">
      <c r="A38" s="890"/>
      <c r="B38" s="1086" t="s">
        <v>2030</v>
      </c>
      <c r="C38" s="1087"/>
      <c r="D38" s="1087"/>
      <c r="E38" s="1087"/>
      <c r="F38" s="1088"/>
      <c r="G38" s="891"/>
      <c r="H38" s="892"/>
      <c r="I38" s="871">
        <f>SUM(I39:I42)</f>
        <v>84009</v>
      </c>
      <c r="J38" s="871">
        <f>SUM(J39:J42)</f>
        <v>56006</v>
      </c>
      <c r="K38" s="871">
        <f t="shared" si="0"/>
        <v>140015</v>
      </c>
    </row>
    <row r="39" spans="1:11" s="874" customFormat="1" ht="64.5" customHeight="1">
      <c r="A39" s="893" t="s">
        <v>2275</v>
      </c>
      <c r="B39" s="1083" t="s">
        <v>2212</v>
      </c>
      <c r="C39" s="1084"/>
      <c r="D39" s="1084"/>
      <c r="E39" s="1084"/>
      <c r="F39" s="1085"/>
      <c r="G39" s="894">
        <v>8100</v>
      </c>
      <c r="H39" s="895">
        <v>169711</v>
      </c>
      <c r="I39" s="873">
        <f>I947</f>
        <v>19851</v>
      </c>
      <c r="J39" s="873">
        <f>J947</f>
        <v>13234</v>
      </c>
      <c r="K39" s="873">
        <f t="shared" si="0"/>
        <v>33085</v>
      </c>
    </row>
    <row r="40" spans="1:11" s="874" customFormat="1" ht="64.5" customHeight="1">
      <c r="A40" s="893" t="s">
        <v>2204</v>
      </c>
      <c r="B40" s="1083" t="s">
        <v>2205</v>
      </c>
      <c r="C40" s="1084"/>
      <c r="D40" s="1084"/>
      <c r="E40" s="1084"/>
      <c r="F40" s="1085"/>
      <c r="G40" s="894">
        <v>8100</v>
      </c>
      <c r="H40" s="895">
        <v>169711</v>
      </c>
      <c r="I40" s="873">
        <f>I949</f>
        <v>56358</v>
      </c>
      <c r="J40" s="873">
        <f>J949</f>
        <v>37572</v>
      </c>
      <c r="K40" s="873">
        <f t="shared" si="0"/>
        <v>93930</v>
      </c>
    </row>
    <row r="41" spans="1:11" s="874" customFormat="1" ht="64.5" customHeight="1">
      <c r="A41" s="893" t="s">
        <v>193</v>
      </c>
      <c r="B41" s="1083" t="s">
        <v>1476</v>
      </c>
      <c r="C41" s="1084"/>
      <c r="D41" s="1084"/>
      <c r="E41" s="1084"/>
      <c r="F41" s="1085"/>
      <c r="G41" s="894">
        <v>8100</v>
      </c>
      <c r="H41" s="896" t="s">
        <v>2445</v>
      </c>
      <c r="I41" s="873">
        <f>I955</f>
        <v>6000</v>
      </c>
      <c r="J41" s="873">
        <f>J955</f>
        <v>4000</v>
      </c>
      <c r="K41" s="873">
        <f t="shared" si="0"/>
        <v>10000</v>
      </c>
    </row>
    <row r="42" spans="1:11" s="874" customFormat="1" ht="64.5" customHeight="1">
      <c r="A42" s="893" t="s">
        <v>244</v>
      </c>
      <c r="B42" s="1083" t="s">
        <v>266</v>
      </c>
      <c r="C42" s="1084"/>
      <c r="D42" s="1084"/>
      <c r="E42" s="1084"/>
      <c r="F42" s="1085"/>
      <c r="G42" s="894">
        <v>8100</v>
      </c>
      <c r="H42" s="895">
        <v>169711</v>
      </c>
      <c r="I42" s="873">
        <f>I957</f>
        <v>1800</v>
      </c>
      <c r="J42" s="873">
        <f>J957</f>
        <v>1200</v>
      </c>
      <c r="K42" s="873">
        <f t="shared" si="0"/>
        <v>3000</v>
      </c>
    </row>
    <row r="43" spans="1:11" s="872" customFormat="1" ht="64.5" customHeight="1">
      <c r="A43" s="890"/>
      <c r="B43" s="1086" t="s">
        <v>1709</v>
      </c>
      <c r="C43" s="1087"/>
      <c r="D43" s="1087"/>
      <c r="E43" s="1087"/>
      <c r="F43" s="1088"/>
      <c r="G43" s="891"/>
      <c r="H43" s="892"/>
      <c r="I43" s="871">
        <f>SUM(I44:I48)</f>
        <v>805472</v>
      </c>
      <c r="J43" s="871">
        <f>SUM(J44:J48)</f>
        <v>438818</v>
      </c>
      <c r="K43" s="871">
        <f t="shared" si="0"/>
        <v>1244290</v>
      </c>
    </row>
    <row r="44" spans="1:11" s="874" customFormat="1" ht="64.5" customHeight="1">
      <c r="A44" s="893" t="s">
        <v>2</v>
      </c>
      <c r="B44" s="1083" t="s">
        <v>347</v>
      </c>
      <c r="C44" s="1084"/>
      <c r="D44" s="1084"/>
      <c r="E44" s="1084"/>
      <c r="F44" s="1085"/>
      <c r="G44" s="894">
        <v>8100</v>
      </c>
      <c r="H44" s="895">
        <v>169708</v>
      </c>
      <c r="I44" s="873">
        <f>I237-I45</f>
        <v>620157</v>
      </c>
      <c r="J44" s="873">
        <f>J237-J45</f>
        <v>332188</v>
      </c>
      <c r="K44" s="873">
        <f t="shared" si="0"/>
        <v>952345</v>
      </c>
    </row>
    <row r="45" spans="1:11" s="874" customFormat="1" ht="64.5" customHeight="1">
      <c r="A45" s="893"/>
      <c r="B45" s="1083" t="s">
        <v>2465</v>
      </c>
      <c r="C45" s="1084"/>
      <c r="D45" s="1084"/>
      <c r="E45" s="1084"/>
      <c r="F45" s="1085"/>
      <c r="G45" s="894"/>
      <c r="H45" s="895"/>
      <c r="I45" s="873">
        <f>I252+I253</f>
        <v>24172</v>
      </c>
      <c r="J45" s="873">
        <f>J252</f>
        <v>0</v>
      </c>
      <c r="K45" s="873">
        <f>I45+J45</f>
        <v>24172</v>
      </c>
    </row>
    <row r="46" spans="1:11" s="874" customFormat="1" ht="64.5" customHeight="1">
      <c r="A46" s="893" t="s">
        <v>480</v>
      </c>
      <c r="B46" s="1083" t="s">
        <v>482</v>
      </c>
      <c r="C46" s="1084"/>
      <c r="D46" s="1084"/>
      <c r="E46" s="1084"/>
      <c r="F46" s="1085"/>
      <c r="G46" s="894">
        <v>8100</v>
      </c>
      <c r="H46" s="895">
        <v>169715</v>
      </c>
      <c r="I46" s="873">
        <f>I254-I47</f>
        <v>150985</v>
      </c>
      <c r="J46" s="873">
        <f>J254-J47</f>
        <v>103915</v>
      </c>
      <c r="K46" s="873">
        <f t="shared" si="0"/>
        <v>254900</v>
      </c>
    </row>
    <row r="47" spans="1:11" s="874" customFormat="1" ht="64.5" customHeight="1">
      <c r="A47" s="893"/>
      <c r="B47" s="1083" t="s">
        <v>2466</v>
      </c>
      <c r="C47" s="1084"/>
      <c r="D47" s="1084"/>
      <c r="E47" s="1084"/>
      <c r="F47" s="1085"/>
      <c r="G47" s="894"/>
      <c r="H47" s="895"/>
      <c r="I47" s="873">
        <f>I256</f>
        <v>6211</v>
      </c>
      <c r="J47" s="873">
        <f>J256</f>
        <v>0</v>
      </c>
      <c r="K47" s="873">
        <f>I47+J47</f>
        <v>6211</v>
      </c>
    </row>
    <row r="48" spans="1:11" s="874" customFormat="1" ht="64.5" customHeight="1">
      <c r="A48" s="893" t="s">
        <v>533</v>
      </c>
      <c r="B48" s="1083" t="s">
        <v>1255</v>
      </c>
      <c r="C48" s="1084"/>
      <c r="D48" s="1084"/>
      <c r="E48" s="1084"/>
      <c r="F48" s="1085"/>
      <c r="G48" s="894">
        <v>8100</v>
      </c>
      <c r="H48" s="895">
        <v>169709</v>
      </c>
      <c r="I48" s="873">
        <f>I257</f>
        <v>3947</v>
      </c>
      <c r="J48" s="873">
        <f>J257</f>
        <v>2715</v>
      </c>
      <c r="K48" s="873">
        <f t="shared" si="0"/>
        <v>6662</v>
      </c>
    </row>
    <row r="49" spans="1:11" s="872" customFormat="1" ht="64.5" customHeight="1">
      <c r="A49" s="890"/>
      <c r="B49" s="1086" t="s">
        <v>1711</v>
      </c>
      <c r="C49" s="1087"/>
      <c r="D49" s="1087"/>
      <c r="E49" s="1087"/>
      <c r="F49" s="1088"/>
      <c r="G49" s="891"/>
      <c r="H49" s="892"/>
      <c r="I49" s="871">
        <f>SUM(I50:I54)</f>
        <v>908290</v>
      </c>
      <c r="J49" s="871">
        <f>SUM(J50:J54)</f>
        <v>552680</v>
      </c>
      <c r="K49" s="871">
        <f t="shared" si="0"/>
        <v>1460970</v>
      </c>
    </row>
    <row r="50" spans="1:11" s="874" customFormat="1" ht="64.5" customHeight="1">
      <c r="A50" s="893" t="s">
        <v>2</v>
      </c>
      <c r="B50" s="1083" t="s">
        <v>347</v>
      </c>
      <c r="C50" s="1084"/>
      <c r="D50" s="1084"/>
      <c r="E50" s="1084"/>
      <c r="F50" s="1085"/>
      <c r="G50" s="894">
        <v>8100</v>
      </c>
      <c r="H50" s="895">
        <v>169708</v>
      </c>
      <c r="I50" s="873">
        <f>I304-I51</f>
        <v>690303</v>
      </c>
      <c r="J50" s="873">
        <f>J304-J51</f>
        <v>427202</v>
      </c>
      <c r="K50" s="873">
        <f t="shared" si="0"/>
        <v>1117505</v>
      </c>
    </row>
    <row r="51" spans="1:11" s="874" customFormat="1" ht="64.5" customHeight="1">
      <c r="A51" s="893"/>
      <c r="B51" s="1083" t="s">
        <v>2465</v>
      </c>
      <c r="C51" s="1084"/>
      <c r="D51" s="1084"/>
      <c r="E51" s="1084"/>
      <c r="F51" s="1085"/>
      <c r="G51" s="894"/>
      <c r="H51" s="895"/>
      <c r="I51" s="873">
        <f>I317+I318</f>
        <v>28363</v>
      </c>
      <c r="J51" s="873">
        <f>J317</f>
        <v>0</v>
      </c>
      <c r="K51" s="873">
        <f>I51+J51</f>
        <v>28363</v>
      </c>
    </row>
    <row r="52" spans="1:11" s="874" customFormat="1" ht="64.5" customHeight="1">
      <c r="A52" s="893" t="s">
        <v>480</v>
      </c>
      <c r="B52" s="1083" t="s">
        <v>482</v>
      </c>
      <c r="C52" s="1084"/>
      <c r="D52" s="1084"/>
      <c r="E52" s="1084"/>
      <c r="F52" s="1085"/>
      <c r="G52" s="894">
        <v>8100</v>
      </c>
      <c r="H52" s="895">
        <v>169715</v>
      </c>
      <c r="I52" s="873">
        <f>I319-I53</f>
        <v>177672</v>
      </c>
      <c r="J52" s="873">
        <f>J319-J53</f>
        <v>122283</v>
      </c>
      <c r="K52" s="873">
        <f t="shared" si="0"/>
        <v>299955</v>
      </c>
    </row>
    <row r="53" spans="1:11" s="874" customFormat="1" ht="64.5" customHeight="1">
      <c r="A53" s="893"/>
      <c r="B53" s="1083" t="s">
        <v>2466</v>
      </c>
      <c r="C53" s="1084"/>
      <c r="D53" s="1084"/>
      <c r="E53" s="1084"/>
      <c r="F53" s="1085"/>
      <c r="G53" s="894"/>
      <c r="H53" s="895"/>
      <c r="I53" s="873">
        <f>I321</f>
        <v>7309</v>
      </c>
      <c r="J53" s="873">
        <f>J321</f>
        <v>0</v>
      </c>
      <c r="K53" s="873">
        <f>I53+J53</f>
        <v>7309</v>
      </c>
    </row>
    <row r="54" spans="1:11" s="874" customFormat="1" ht="64.5" customHeight="1">
      <c r="A54" s="893" t="s">
        <v>533</v>
      </c>
      <c r="B54" s="1083" t="s">
        <v>1255</v>
      </c>
      <c r="C54" s="1084"/>
      <c r="D54" s="1084"/>
      <c r="E54" s="1084"/>
      <c r="F54" s="1085"/>
      <c r="G54" s="894">
        <v>8100</v>
      </c>
      <c r="H54" s="895">
        <v>169709</v>
      </c>
      <c r="I54" s="873">
        <f>I322</f>
        <v>4643</v>
      </c>
      <c r="J54" s="873">
        <f>J322</f>
        <v>3195</v>
      </c>
      <c r="K54" s="873">
        <f t="shared" si="0"/>
        <v>7838</v>
      </c>
    </row>
    <row r="55" spans="1:11" s="872" customFormat="1" ht="64.5" customHeight="1">
      <c r="A55" s="890"/>
      <c r="B55" s="1086" t="s">
        <v>1602</v>
      </c>
      <c r="C55" s="1087"/>
      <c r="D55" s="1087"/>
      <c r="E55" s="1087"/>
      <c r="F55" s="1088"/>
      <c r="G55" s="891"/>
      <c r="H55" s="892"/>
      <c r="I55" s="871">
        <f>SUM(I56:I58)</f>
        <v>711751.8</v>
      </c>
      <c r="J55" s="871">
        <f>SUM(J56:J58)</f>
        <v>474501.2</v>
      </c>
      <c r="K55" s="871">
        <f t="shared" si="0"/>
        <v>1186253</v>
      </c>
    </row>
    <row r="56" spans="1:11" s="874" customFormat="1" ht="64.5" customHeight="1">
      <c r="A56" s="893" t="s">
        <v>2275</v>
      </c>
      <c r="B56" s="1083" t="s">
        <v>2212</v>
      </c>
      <c r="C56" s="1084"/>
      <c r="D56" s="1084"/>
      <c r="E56" s="1084"/>
      <c r="F56" s="1085"/>
      <c r="G56" s="894">
        <v>8100</v>
      </c>
      <c r="H56" s="895">
        <v>169711</v>
      </c>
      <c r="I56" s="873">
        <f>I330</f>
        <v>531000</v>
      </c>
      <c r="J56" s="873">
        <f>J330</f>
        <v>354000</v>
      </c>
      <c r="K56" s="873">
        <f t="shared" si="0"/>
        <v>885000</v>
      </c>
    </row>
    <row r="57" spans="1:11" s="874" customFormat="1" ht="64.5" customHeight="1">
      <c r="A57" s="893" t="s">
        <v>2204</v>
      </c>
      <c r="B57" s="1083" t="s">
        <v>2205</v>
      </c>
      <c r="C57" s="1084"/>
      <c r="D57" s="1084"/>
      <c r="E57" s="1084"/>
      <c r="F57" s="1085"/>
      <c r="G57" s="894">
        <v>8100</v>
      </c>
      <c r="H57" s="895">
        <v>169711</v>
      </c>
      <c r="I57" s="873">
        <f>I332</f>
        <v>173551.8</v>
      </c>
      <c r="J57" s="873">
        <f>J332</f>
        <v>115701.2</v>
      </c>
      <c r="K57" s="873">
        <f t="shared" si="0"/>
        <v>289253</v>
      </c>
    </row>
    <row r="58" spans="1:11" s="874" customFormat="1" ht="64.5" customHeight="1">
      <c r="A58" s="893" t="s">
        <v>193</v>
      </c>
      <c r="B58" s="1083" t="s">
        <v>1476</v>
      </c>
      <c r="C58" s="1084"/>
      <c r="D58" s="1084"/>
      <c r="E58" s="1084"/>
      <c r="F58" s="1085"/>
      <c r="G58" s="894">
        <v>8100</v>
      </c>
      <c r="H58" s="896" t="s">
        <v>2445</v>
      </c>
      <c r="I58" s="873">
        <f>I338</f>
        <v>7200</v>
      </c>
      <c r="J58" s="873">
        <f>J338</f>
        <v>4800</v>
      </c>
      <c r="K58" s="873">
        <f t="shared" si="0"/>
        <v>12000</v>
      </c>
    </row>
    <row r="59" spans="1:11" s="872" customFormat="1" ht="64.5" customHeight="1">
      <c r="A59" s="890"/>
      <c r="B59" s="1086" t="s">
        <v>1542</v>
      </c>
      <c r="C59" s="1087"/>
      <c r="D59" s="1087"/>
      <c r="E59" s="1087"/>
      <c r="F59" s="1088"/>
      <c r="G59" s="891"/>
      <c r="H59" s="892"/>
      <c r="I59" s="871">
        <f>SUM(I60:I61)</f>
        <v>290648.40000000002</v>
      </c>
      <c r="J59" s="871">
        <f>SUM(J60:J61)</f>
        <v>193765.59999999998</v>
      </c>
      <c r="K59" s="871">
        <f t="shared" si="0"/>
        <v>484414</v>
      </c>
    </row>
    <row r="60" spans="1:11" s="874" customFormat="1" ht="64.5" customHeight="1">
      <c r="A60" s="893" t="s">
        <v>2204</v>
      </c>
      <c r="B60" s="1083" t="s">
        <v>2205</v>
      </c>
      <c r="C60" s="1084"/>
      <c r="D60" s="1084"/>
      <c r="E60" s="1084"/>
      <c r="F60" s="1085"/>
      <c r="G60" s="894">
        <v>8100</v>
      </c>
      <c r="H60" s="895">
        <v>169711</v>
      </c>
      <c r="I60" s="873">
        <f>I419</f>
        <v>6600</v>
      </c>
      <c r="J60" s="873">
        <f>J419</f>
        <v>4400</v>
      </c>
      <c r="K60" s="873">
        <f t="shared" si="0"/>
        <v>11000</v>
      </c>
    </row>
    <row r="61" spans="1:11" s="874" customFormat="1" ht="64.5" customHeight="1">
      <c r="A61" s="893" t="s">
        <v>244</v>
      </c>
      <c r="B61" s="1083" t="s">
        <v>266</v>
      </c>
      <c r="C61" s="1084"/>
      <c r="D61" s="1084"/>
      <c r="E61" s="1084"/>
      <c r="F61" s="1085"/>
      <c r="G61" s="894">
        <v>8100</v>
      </c>
      <c r="H61" s="895">
        <v>169711</v>
      </c>
      <c r="I61" s="873">
        <f>I353</f>
        <v>284048.40000000002</v>
      </c>
      <c r="J61" s="873">
        <f>J353</f>
        <v>189365.59999999998</v>
      </c>
      <c r="K61" s="873">
        <f t="shared" si="0"/>
        <v>473414</v>
      </c>
    </row>
    <row r="62" spans="1:11" s="548" customFormat="1" ht="42" customHeight="1">
      <c r="A62" s="761"/>
      <c r="B62" s="760"/>
      <c r="C62" s="760"/>
      <c r="D62" s="760"/>
      <c r="E62" s="760"/>
      <c r="F62" s="760"/>
      <c r="G62" s="762"/>
      <c r="H62" s="762"/>
      <c r="I62" s="763"/>
      <c r="J62" s="763"/>
      <c r="K62" s="763"/>
    </row>
    <row r="63" spans="1:11" ht="45">
      <c r="A63" s="979" t="s">
        <v>51</v>
      </c>
      <c r="B63" s="979"/>
      <c r="C63" s="979"/>
      <c r="D63" s="979"/>
      <c r="E63" s="979"/>
      <c r="F63" s="979"/>
      <c r="G63" s="979"/>
      <c r="H63" s="979"/>
      <c r="I63" s="979"/>
      <c r="J63" s="979"/>
      <c r="K63" s="979"/>
    </row>
    <row r="64" spans="1:11" ht="45">
      <c r="A64" s="979" t="s">
        <v>52</v>
      </c>
      <c r="B64" s="979"/>
      <c r="C64" s="979"/>
      <c r="D64" s="979"/>
      <c r="E64" s="979"/>
      <c r="F64" s="979"/>
      <c r="G64" s="979"/>
      <c r="H64" s="979"/>
      <c r="I64" s="979"/>
      <c r="J64" s="979"/>
      <c r="K64" s="979"/>
    </row>
    <row r="65" spans="1:11" ht="45">
      <c r="A65" s="1040" t="s">
        <v>50</v>
      </c>
      <c r="B65" s="1040"/>
      <c r="C65" s="1040"/>
      <c r="D65" s="1040"/>
      <c r="E65" s="1040"/>
      <c r="F65" s="1040"/>
      <c r="G65" s="1040"/>
      <c r="H65" s="1040"/>
      <c r="I65" s="1040"/>
      <c r="J65" s="1040"/>
      <c r="K65" s="1040"/>
    </row>
    <row r="66" spans="1:11" ht="44.25">
      <c r="A66" s="736"/>
      <c r="B66" s="736"/>
      <c r="C66" s="736"/>
      <c r="D66" s="736"/>
      <c r="E66" s="736"/>
      <c r="F66" s="736"/>
      <c r="G66" s="838"/>
      <c r="H66" s="838"/>
      <c r="I66" s="838"/>
      <c r="J66" s="838"/>
      <c r="K66" s="838"/>
    </row>
    <row r="67" spans="1:11" ht="45">
      <c r="A67" s="979" t="s">
        <v>2214</v>
      </c>
      <c r="B67" s="979"/>
      <c r="C67" s="979"/>
      <c r="D67" s="979"/>
      <c r="E67" s="979"/>
      <c r="F67" s="979"/>
      <c r="G67" s="979"/>
      <c r="H67" s="979"/>
      <c r="I67" s="979"/>
      <c r="J67" s="979"/>
      <c r="K67" s="979"/>
    </row>
    <row r="68" spans="1:11" s="620" customFormat="1" ht="33">
      <c r="A68" s="65"/>
      <c r="B68" s="65"/>
      <c r="C68" s="65"/>
      <c r="D68" s="65"/>
      <c r="E68" s="65"/>
      <c r="F68" s="65"/>
      <c r="G68" s="68"/>
      <c r="H68" s="68"/>
      <c r="I68" s="68"/>
      <c r="J68" s="68"/>
      <c r="K68" s="68"/>
    </row>
    <row r="69" spans="1:11" ht="20.100000000000001" customHeight="1">
      <c r="A69" s="65"/>
      <c r="B69" s="65"/>
      <c r="C69" s="65"/>
      <c r="D69" s="65"/>
      <c r="E69" s="65"/>
      <c r="F69" s="65"/>
      <c r="G69" s="68"/>
      <c r="H69" s="68"/>
      <c r="I69" s="68"/>
      <c r="J69" s="68"/>
      <c r="K69" s="68"/>
    </row>
    <row r="70" spans="1:11" ht="20.100000000000001" customHeight="1">
      <c r="A70" s="979"/>
      <c r="B70" s="979"/>
      <c r="C70" s="979"/>
      <c r="D70" s="979"/>
      <c r="E70" s="979"/>
      <c r="F70" s="979"/>
      <c r="G70" s="979"/>
      <c r="H70" s="979"/>
      <c r="I70" s="979"/>
      <c r="J70" s="979"/>
      <c r="K70" s="979"/>
    </row>
    <row r="71" spans="1:11" ht="45.75" customHeight="1">
      <c r="A71" s="1029" t="s">
        <v>2492</v>
      </c>
      <c r="B71" s="1030"/>
      <c r="C71" s="1030"/>
      <c r="D71" s="1030"/>
      <c r="E71" s="1030"/>
      <c r="F71" s="1030"/>
      <c r="G71" s="1030"/>
      <c r="H71" s="1030"/>
      <c r="I71" s="1030"/>
      <c r="J71" s="1030"/>
      <c r="K71" s="1030"/>
    </row>
    <row r="72" spans="1:11" s="904" customFormat="1" ht="64.5" customHeight="1">
      <c r="A72" s="1094" t="s">
        <v>183</v>
      </c>
      <c r="B72" s="1094" t="s">
        <v>209</v>
      </c>
      <c r="C72" s="886"/>
      <c r="D72" s="886"/>
      <c r="E72" s="886"/>
      <c r="F72" s="887"/>
      <c r="G72" s="1078" t="s">
        <v>440</v>
      </c>
      <c r="H72" s="1080" t="s">
        <v>16</v>
      </c>
      <c r="I72" s="1082" t="s">
        <v>1490</v>
      </c>
      <c r="J72" s="1082" t="s">
        <v>2507</v>
      </c>
      <c r="K72" s="1089" t="s">
        <v>200</v>
      </c>
    </row>
    <row r="73" spans="1:11" s="904" customFormat="1" ht="64.5" customHeight="1">
      <c r="A73" s="1095"/>
      <c r="B73" s="1095"/>
      <c r="C73" s="888"/>
      <c r="D73" s="888"/>
      <c r="E73" s="888"/>
      <c r="F73" s="889"/>
      <c r="G73" s="1079"/>
      <c r="H73" s="1081"/>
      <c r="I73" s="1082"/>
      <c r="J73" s="1082"/>
      <c r="K73" s="1090"/>
    </row>
    <row r="74" spans="1:11" s="872" customFormat="1" ht="64.5" customHeight="1">
      <c r="A74" s="890"/>
      <c r="B74" s="1086" t="s">
        <v>1633</v>
      </c>
      <c r="C74" s="1087"/>
      <c r="D74" s="1087"/>
      <c r="E74" s="1087"/>
      <c r="F74" s="1088"/>
      <c r="G74" s="891"/>
      <c r="H74" s="892"/>
      <c r="I74" s="871">
        <f>SUM(I75:I78)</f>
        <v>229105.19999999998</v>
      </c>
      <c r="J74" s="871">
        <f>SUM(J75:J78)</f>
        <v>152736.79999999999</v>
      </c>
      <c r="K74" s="871">
        <f t="shared" ref="K74:K105" si="1">I74+J74</f>
        <v>381842</v>
      </c>
    </row>
    <row r="75" spans="1:11" s="874" customFormat="1" ht="64.5" customHeight="1">
      <c r="A75" s="893" t="s">
        <v>2275</v>
      </c>
      <c r="B75" s="1083" t="s">
        <v>2212</v>
      </c>
      <c r="C75" s="1084"/>
      <c r="D75" s="1084"/>
      <c r="E75" s="1084"/>
      <c r="F75" s="1085"/>
      <c r="G75" s="894">
        <v>8100</v>
      </c>
      <c r="H75" s="895">
        <v>169711</v>
      </c>
      <c r="I75" s="873">
        <f>I364</f>
        <v>23547</v>
      </c>
      <c r="J75" s="873">
        <f>J364</f>
        <v>15698</v>
      </c>
      <c r="K75" s="873">
        <f t="shared" si="1"/>
        <v>39245</v>
      </c>
    </row>
    <row r="76" spans="1:11" s="874" customFormat="1" ht="64.5" customHeight="1">
      <c r="A76" s="893" t="s">
        <v>2204</v>
      </c>
      <c r="B76" s="1083" t="s">
        <v>2205</v>
      </c>
      <c r="C76" s="1084"/>
      <c r="D76" s="1084"/>
      <c r="E76" s="1084"/>
      <c r="F76" s="1085"/>
      <c r="G76" s="894">
        <v>8100</v>
      </c>
      <c r="H76" s="895">
        <v>169711</v>
      </c>
      <c r="I76" s="873">
        <f>I366</f>
        <v>196858.19999999998</v>
      </c>
      <c r="J76" s="873">
        <f>J366</f>
        <v>131238.79999999999</v>
      </c>
      <c r="K76" s="873">
        <f t="shared" si="1"/>
        <v>328097</v>
      </c>
    </row>
    <row r="77" spans="1:11" s="874" customFormat="1" ht="64.5" customHeight="1">
      <c r="A77" s="893" t="s">
        <v>193</v>
      </c>
      <c r="B77" s="1083" t="s">
        <v>1476</v>
      </c>
      <c r="C77" s="1084"/>
      <c r="D77" s="1084"/>
      <c r="E77" s="1084"/>
      <c r="F77" s="1085"/>
      <c r="G77" s="894">
        <v>8100</v>
      </c>
      <c r="H77" s="896" t="s">
        <v>2445</v>
      </c>
      <c r="I77" s="873">
        <f>I377</f>
        <v>2700</v>
      </c>
      <c r="J77" s="873">
        <f>J377</f>
        <v>1800</v>
      </c>
      <c r="K77" s="873">
        <f t="shared" si="1"/>
        <v>4500</v>
      </c>
    </row>
    <row r="78" spans="1:11" s="874" customFormat="1" ht="64.5" customHeight="1">
      <c r="A78" s="893" t="s">
        <v>244</v>
      </c>
      <c r="B78" s="1083" t="s">
        <v>266</v>
      </c>
      <c r="C78" s="1084"/>
      <c r="D78" s="1084"/>
      <c r="E78" s="1084"/>
      <c r="F78" s="1085"/>
      <c r="G78" s="894">
        <v>8100</v>
      </c>
      <c r="H78" s="895">
        <v>169711</v>
      </c>
      <c r="I78" s="873">
        <f>I379</f>
        <v>6000</v>
      </c>
      <c r="J78" s="873">
        <f>J379</f>
        <v>4000</v>
      </c>
      <c r="K78" s="873">
        <f t="shared" si="1"/>
        <v>10000</v>
      </c>
    </row>
    <row r="79" spans="1:11" s="872" customFormat="1" ht="64.5" customHeight="1">
      <c r="A79" s="890"/>
      <c r="B79" s="1086" t="s">
        <v>1563</v>
      </c>
      <c r="C79" s="1087"/>
      <c r="D79" s="1087"/>
      <c r="E79" s="1087"/>
      <c r="F79" s="1088"/>
      <c r="G79" s="891"/>
      <c r="H79" s="892"/>
      <c r="I79" s="871">
        <f>SUM(I80:I82)</f>
        <v>99103.8</v>
      </c>
      <c r="J79" s="871">
        <f>SUM(J80:J82)</f>
        <v>66069.2</v>
      </c>
      <c r="K79" s="871">
        <f t="shared" si="1"/>
        <v>165173</v>
      </c>
    </row>
    <row r="80" spans="1:11" s="874" customFormat="1" ht="64.5" customHeight="1">
      <c r="A80" s="893" t="s">
        <v>2204</v>
      </c>
      <c r="B80" s="1083" t="s">
        <v>2205</v>
      </c>
      <c r="C80" s="1084"/>
      <c r="D80" s="1084"/>
      <c r="E80" s="1084"/>
      <c r="F80" s="1085"/>
      <c r="G80" s="894">
        <v>8100</v>
      </c>
      <c r="H80" s="895">
        <v>169711</v>
      </c>
      <c r="I80" s="873">
        <f>I397</f>
        <v>85878</v>
      </c>
      <c r="J80" s="873">
        <f>J397</f>
        <v>57252</v>
      </c>
      <c r="K80" s="873">
        <f t="shared" si="1"/>
        <v>143130</v>
      </c>
    </row>
    <row r="81" spans="1:11" s="874" customFormat="1" ht="64.5" customHeight="1">
      <c r="A81" s="893" t="s">
        <v>193</v>
      </c>
      <c r="B81" s="1083" t="s">
        <v>1476</v>
      </c>
      <c r="C81" s="1084"/>
      <c r="D81" s="1084"/>
      <c r="E81" s="1084"/>
      <c r="F81" s="1085"/>
      <c r="G81" s="894">
        <v>8100</v>
      </c>
      <c r="H81" s="896" t="s">
        <v>2445</v>
      </c>
      <c r="I81" s="873">
        <f>I403</f>
        <v>8100</v>
      </c>
      <c r="J81" s="873">
        <f>J403</f>
        <v>5400</v>
      </c>
      <c r="K81" s="873">
        <f t="shared" si="1"/>
        <v>13500</v>
      </c>
    </row>
    <row r="82" spans="1:11" s="874" customFormat="1" ht="64.5" customHeight="1">
      <c r="A82" s="893" t="s">
        <v>244</v>
      </c>
      <c r="B82" s="1083" t="s">
        <v>266</v>
      </c>
      <c r="C82" s="1084"/>
      <c r="D82" s="1084"/>
      <c r="E82" s="1084"/>
      <c r="F82" s="1085"/>
      <c r="G82" s="894">
        <v>8100</v>
      </c>
      <c r="H82" s="895">
        <v>169711</v>
      </c>
      <c r="I82" s="873">
        <f>I405</f>
        <v>5125.8</v>
      </c>
      <c r="J82" s="873">
        <f>J405</f>
        <v>3417.2000000000003</v>
      </c>
      <c r="K82" s="873">
        <f t="shared" si="1"/>
        <v>8543</v>
      </c>
    </row>
    <row r="83" spans="1:11" s="872" customFormat="1" ht="64.5" customHeight="1">
      <c r="A83" s="890"/>
      <c r="B83" s="1086" t="s">
        <v>1514</v>
      </c>
      <c r="C83" s="1087"/>
      <c r="D83" s="1087"/>
      <c r="E83" s="1087"/>
      <c r="F83" s="1088"/>
      <c r="G83" s="891"/>
      <c r="H83" s="892"/>
      <c r="I83" s="871">
        <f>SUM(I84:I87)</f>
        <v>458095.80000000005</v>
      </c>
      <c r="J83" s="871">
        <f>SUM(J84:J87)</f>
        <v>305397.2</v>
      </c>
      <c r="K83" s="871">
        <f t="shared" si="1"/>
        <v>763493</v>
      </c>
    </row>
    <row r="84" spans="1:11" s="874" customFormat="1" ht="64.5" customHeight="1">
      <c r="A84" s="893" t="s">
        <v>2275</v>
      </c>
      <c r="B84" s="1083" t="s">
        <v>2212</v>
      </c>
      <c r="C84" s="1084"/>
      <c r="D84" s="1084"/>
      <c r="E84" s="1084"/>
      <c r="F84" s="1085"/>
      <c r="G84" s="894">
        <v>8100</v>
      </c>
      <c r="H84" s="895">
        <v>169711</v>
      </c>
      <c r="I84" s="873">
        <f>I412</f>
        <v>20635.2</v>
      </c>
      <c r="J84" s="873">
        <f>J412</f>
        <v>13756.800000000001</v>
      </c>
      <c r="K84" s="873">
        <f t="shared" si="1"/>
        <v>34392</v>
      </c>
    </row>
    <row r="85" spans="1:11" s="874" customFormat="1" ht="64.5" customHeight="1">
      <c r="A85" s="893" t="s">
        <v>2204</v>
      </c>
      <c r="B85" s="1083" t="s">
        <v>2205</v>
      </c>
      <c r="C85" s="1084"/>
      <c r="D85" s="1084"/>
      <c r="E85" s="1084"/>
      <c r="F85" s="1085"/>
      <c r="G85" s="894">
        <v>8100</v>
      </c>
      <c r="H85" s="895">
        <v>169711</v>
      </c>
      <c r="I85" s="873">
        <f>I414</f>
        <v>412860.60000000003</v>
      </c>
      <c r="J85" s="873">
        <f>J414</f>
        <v>275240.40000000002</v>
      </c>
      <c r="K85" s="873">
        <f t="shared" si="1"/>
        <v>688101</v>
      </c>
    </row>
    <row r="86" spans="1:11" s="874" customFormat="1" ht="64.5" customHeight="1">
      <c r="A86" s="893" t="s">
        <v>193</v>
      </c>
      <c r="B86" s="1083" t="s">
        <v>1476</v>
      </c>
      <c r="C86" s="1084"/>
      <c r="D86" s="1084"/>
      <c r="E86" s="1084"/>
      <c r="F86" s="1085"/>
      <c r="G86" s="894">
        <v>8100</v>
      </c>
      <c r="H86" s="896" t="s">
        <v>2445</v>
      </c>
      <c r="I86" s="873">
        <f>I418</f>
        <v>6600</v>
      </c>
      <c r="J86" s="873">
        <f>J418</f>
        <v>4400</v>
      </c>
      <c r="K86" s="873">
        <f t="shared" si="1"/>
        <v>11000</v>
      </c>
    </row>
    <row r="87" spans="1:11" s="874" customFormat="1" ht="64.5" customHeight="1">
      <c r="A87" s="893" t="s">
        <v>244</v>
      </c>
      <c r="B87" s="1083" t="s">
        <v>266</v>
      </c>
      <c r="C87" s="1084"/>
      <c r="D87" s="1084"/>
      <c r="E87" s="1084"/>
      <c r="F87" s="1085"/>
      <c r="G87" s="894">
        <v>8100</v>
      </c>
      <c r="H87" s="895">
        <v>169711</v>
      </c>
      <c r="I87" s="873">
        <f>I420</f>
        <v>18000</v>
      </c>
      <c r="J87" s="873">
        <f>J420</f>
        <v>12000</v>
      </c>
      <c r="K87" s="873">
        <f t="shared" si="1"/>
        <v>30000</v>
      </c>
    </row>
    <row r="88" spans="1:11" s="872" customFormat="1" ht="64.5" customHeight="1">
      <c r="A88" s="890"/>
      <c r="B88" s="1086" t="s">
        <v>1665</v>
      </c>
      <c r="C88" s="1087"/>
      <c r="D88" s="1087"/>
      <c r="E88" s="1087"/>
      <c r="F88" s="1088"/>
      <c r="G88" s="891"/>
      <c r="H88" s="892"/>
      <c r="I88" s="871">
        <f>SUM(I89:I92)</f>
        <v>458956.2</v>
      </c>
      <c r="J88" s="871">
        <f>SUM(J89:J92)</f>
        <v>305970.8</v>
      </c>
      <c r="K88" s="871">
        <f t="shared" si="1"/>
        <v>764927</v>
      </c>
    </row>
    <row r="89" spans="1:11" s="874" customFormat="1" ht="64.5" customHeight="1">
      <c r="A89" s="893" t="s">
        <v>2275</v>
      </c>
      <c r="B89" s="1083" t="s">
        <v>2212</v>
      </c>
      <c r="C89" s="1084"/>
      <c r="D89" s="1084"/>
      <c r="E89" s="1084"/>
      <c r="F89" s="1085"/>
      <c r="G89" s="894">
        <v>8100</v>
      </c>
      <c r="H89" s="895">
        <v>169711</v>
      </c>
      <c r="I89" s="873">
        <f>I439</f>
        <v>39048.6</v>
      </c>
      <c r="J89" s="873">
        <f>J439</f>
        <v>26032.399999999998</v>
      </c>
      <c r="K89" s="873">
        <f t="shared" si="1"/>
        <v>65081</v>
      </c>
    </row>
    <row r="90" spans="1:11" s="874" customFormat="1" ht="64.5" customHeight="1">
      <c r="A90" s="893" t="s">
        <v>2204</v>
      </c>
      <c r="B90" s="1083" t="s">
        <v>2205</v>
      </c>
      <c r="C90" s="1084"/>
      <c r="D90" s="1084"/>
      <c r="E90" s="1084"/>
      <c r="F90" s="1085"/>
      <c r="G90" s="894">
        <v>8100</v>
      </c>
      <c r="H90" s="895">
        <v>169711</v>
      </c>
      <c r="I90" s="873">
        <f>I441</f>
        <v>380117.4</v>
      </c>
      <c r="J90" s="873">
        <f>J441</f>
        <v>253411.6</v>
      </c>
      <c r="K90" s="873">
        <f t="shared" si="1"/>
        <v>633529</v>
      </c>
    </row>
    <row r="91" spans="1:11" s="874" customFormat="1" ht="64.5" customHeight="1">
      <c r="A91" s="893" t="s">
        <v>193</v>
      </c>
      <c r="B91" s="1083" t="s">
        <v>1476</v>
      </c>
      <c r="C91" s="1084"/>
      <c r="D91" s="1084"/>
      <c r="E91" s="1084"/>
      <c r="F91" s="1085"/>
      <c r="G91" s="894">
        <v>8100</v>
      </c>
      <c r="H91" s="896" t="s">
        <v>2445</v>
      </c>
      <c r="I91" s="873">
        <f>I452</f>
        <v>9000</v>
      </c>
      <c r="J91" s="873">
        <f>J452</f>
        <v>6000</v>
      </c>
      <c r="K91" s="873">
        <f t="shared" si="1"/>
        <v>15000</v>
      </c>
    </row>
    <row r="92" spans="1:11" s="874" customFormat="1" ht="64.5" customHeight="1">
      <c r="A92" s="893" t="s">
        <v>244</v>
      </c>
      <c r="B92" s="1083" t="s">
        <v>266</v>
      </c>
      <c r="C92" s="1084"/>
      <c r="D92" s="1084"/>
      <c r="E92" s="1084"/>
      <c r="F92" s="1085"/>
      <c r="G92" s="894">
        <v>8100</v>
      </c>
      <c r="H92" s="895">
        <v>169711</v>
      </c>
      <c r="I92" s="873">
        <f>I454</f>
        <v>30790.2</v>
      </c>
      <c r="J92" s="873">
        <f>J454</f>
        <v>20526.8</v>
      </c>
      <c r="K92" s="873">
        <f t="shared" si="1"/>
        <v>51317</v>
      </c>
    </row>
    <row r="93" spans="1:11" s="872" customFormat="1" ht="64.5" customHeight="1">
      <c r="A93" s="890"/>
      <c r="B93" s="1086" t="s">
        <v>1618</v>
      </c>
      <c r="C93" s="1087"/>
      <c r="D93" s="1087"/>
      <c r="E93" s="1087"/>
      <c r="F93" s="1088"/>
      <c r="G93" s="891"/>
      <c r="H93" s="892"/>
      <c r="I93" s="871">
        <f>SUM(I94:I96)</f>
        <v>217060.8</v>
      </c>
      <c r="J93" s="871">
        <f>SUM(J94:J96)</f>
        <v>144707.20000000001</v>
      </c>
      <c r="K93" s="871">
        <f t="shared" si="1"/>
        <v>361768</v>
      </c>
    </row>
    <row r="94" spans="1:11" s="874" customFormat="1" ht="64.5" customHeight="1">
      <c r="A94" s="893" t="s">
        <v>2204</v>
      </c>
      <c r="B94" s="1083" t="s">
        <v>2205</v>
      </c>
      <c r="C94" s="1084"/>
      <c r="D94" s="1084"/>
      <c r="E94" s="1084"/>
      <c r="F94" s="1085"/>
      <c r="G94" s="894">
        <v>8100</v>
      </c>
      <c r="H94" s="895">
        <v>169711</v>
      </c>
      <c r="I94" s="873">
        <f>I482</f>
        <v>210460.79999999999</v>
      </c>
      <c r="J94" s="873">
        <f>J482</f>
        <v>140307.20000000001</v>
      </c>
      <c r="K94" s="873">
        <f t="shared" si="1"/>
        <v>350768</v>
      </c>
    </row>
    <row r="95" spans="1:11" s="874" customFormat="1" ht="64.5" customHeight="1">
      <c r="A95" s="893" t="s">
        <v>193</v>
      </c>
      <c r="B95" s="1083" t="s">
        <v>1476</v>
      </c>
      <c r="C95" s="1084"/>
      <c r="D95" s="1084"/>
      <c r="E95" s="1084"/>
      <c r="F95" s="1085"/>
      <c r="G95" s="894">
        <v>8100</v>
      </c>
      <c r="H95" s="896" t="s">
        <v>2445</v>
      </c>
      <c r="I95" s="873">
        <f>I488</f>
        <v>3600</v>
      </c>
      <c r="J95" s="873">
        <f>J488</f>
        <v>2400</v>
      </c>
      <c r="K95" s="873">
        <f t="shared" si="1"/>
        <v>6000</v>
      </c>
    </row>
    <row r="96" spans="1:11" s="874" customFormat="1" ht="64.5" customHeight="1">
      <c r="A96" s="893" t="s">
        <v>244</v>
      </c>
      <c r="B96" s="1083" t="s">
        <v>266</v>
      </c>
      <c r="C96" s="1084"/>
      <c r="D96" s="1084"/>
      <c r="E96" s="1084"/>
      <c r="F96" s="1085"/>
      <c r="G96" s="894">
        <v>8100</v>
      </c>
      <c r="H96" s="895">
        <v>169711</v>
      </c>
      <c r="I96" s="873">
        <f>I490</f>
        <v>3000</v>
      </c>
      <c r="J96" s="873">
        <f>J490</f>
        <v>2000</v>
      </c>
      <c r="K96" s="873">
        <f t="shared" si="1"/>
        <v>5000</v>
      </c>
    </row>
    <row r="97" spans="1:11" s="872" customFormat="1" ht="64.5" customHeight="1">
      <c r="A97" s="890"/>
      <c r="B97" s="1086" t="s">
        <v>1530</v>
      </c>
      <c r="C97" s="1087"/>
      <c r="D97" s="1087"/>
      <c r="E97" s="1087"/>
      <c r="F97" s="1088"/>
      <c r="G97" s="891"/>
      <c r="H97" s="892"/>
      <c r="I97" s="871">
        <f>SUM(I98:I99)</f>
        <v>567863.4</v>
      </c>
      <c r="J97" s="871">
        <f>SUM(J98:J99)</f>
        <v>378575.6</v>
      </c>
      <c r="K97" s="871">
        <f t="shared" si="1"/>
        <v>946439</v>
      </c>
    </row>
    <row r="98" spans="1:11" s="874" customFormat="1" ht="64.5" customHeight="1">
      <c r="A98" s="893" t="s">
        <v>2275</v>
      </c>
      <c r="B98" s="1083" t="s">
        <v>2212</v>
      </c>
      <c r="C98" s="1084"/>
      <c r="D98" s="1084"/>
      <c r="E98" s="1084"/>
      <c r="F98" s="1085"/>
      <c r="G98" s="894">
        <v>8100</v>
      </c>
      <c r="H98" s="895">
        <v>169711</v>
      </c>
      <c r="I98" s="873">
        <f>I496</f>
        <v>72000</v>
      </c>
      <c r="J98" s="873">
        <f>J496</f>
        <v>48000</v>
      </c>
      <c r="K98" s="873">
        <f t="shared" si="1"/>
        <v>120000</v>
      </c>
    </row>
    <row r="99" spans="1:11" s="874" customFormat="1" ht="64.5" customHeight="1">
      <c r="A99" s="893" t="s">
        <v>2204</v>
      </c>
      <c r="B99" s="1083" t="s">
        <v>2205</v>
      </c>
      <c r="C99" s="1084"/>
      <c r="D99" s="1084"/>
      <c r="E99" s="1084"/>
      <c r="F99" s="1085"/>
      <c r="G99" s="894">
        <v>8100</v>
      </c>
      <c r="H99" s="895">
        <v>169711</v>
      </c>
      <c r="I99" s="873">
        <f>I498</f>
        <v>495863.4</v>
      </c>
      <c r="J99" s="873">
        <f>J498</f>
        <v>330575.59999999998</v>
      </c>
      <c r="K99" s="873">
        <f t="shared" si="1"/>
        <v>826439</v>
      </c>
    </row>
    <row r="100" spans="1:11" s="872" customFormat="1" ht="64.5" customHeight="1">
      <c r="A100" s="890"/>
      <c r="B100" s="1086" t="s">
        <v>1571</v>
      </c>
      <c r="C100" s="1087"/>
      <c r="D100" s="1087"/>
      <c r="E100" s="1087"/>
      <c r="F100" s="1088"/>
      <c r="G100" s="891"/>
      <c r="H100" s="892"/>
      <c r="I100" s="871">
        <f>SUM(I101:I104)</f>
        <v>312034.8</v>
      </c>
      <c r="J100" s="871">
        <f>SUM(J101:J104)</f>
        <v>208023.19999999998</v>
      </c>
      <c r="K100" s="871">
        <f t="shared" si="1"/>
        <v>520058</v>
      </c>
    </row>
    <row r="101" spans="1:11" s="874" customFormat="1" ht="64.5" customHeight="1">
      <c r="A101" s="893" t="s">
        <v>2275</v>
      </c>
      <c r="B101" s="1083" t="s">
        <v>2212</v>
      </c>
      <c r="C101" s="1084"/>
      <c r="D101" s="1084"/>
      <c r="E101" s="1084"/>
      <c r="F101" s="1085"/>
      <c r="G101" s="894">
        <v>8100</v>
      </c>
      <c r="H101" s="895">
        <v>169711</v>
      </c>
      <c r="I101" s="873">
        <f>I517</f>
        <v>41682</v>
      </c>
      <c r="J101" s="873">
        <f>J517</f>
        <v>27788</v>
      </c>
      <c r="K101" s="873">
        <f t="shared" si="1"/>
        <v>69470</v>
      </c>
    </row>
    <row r="102" spans="1:11" s="874" customFormat="1" ht="64.5" customHeight="1">
      <c r="A102" s="893" t="s">
        <v>2204</v>
      </c>
      <c r="B102" s="1083" t="s">
        <v>2205</v>
      </c>
      <c r="C102" s="1084"/>
      <c r="D102" s="1084"/>
      <c r="E102" s="1084"/>
      <c r="F102" s="1085"/>
      <c r="G102" s="894">
        <v>8100</v>
      </c>
      <c r="H102" s="895">
        <v>169711</v>
      </c>
      <c r="I102" s="873">
        <f>I519</f>
        <v>238125.59999999998</v>
      </c>
      <c r="J102" s="873">
        <f>J519</f>
        <v>158750.39999999999</v>
      </c>
      <c r="K102" s="873">
        <f t="shared" si="1"/>
        <v>396876</v>
      </c>
    </row>
    <row r="103" spans="1:11" s="874" customFormat="1" ht="64.5" customHeight="1">
      <c r="A103" s="893" t="s">
        <v>193</v>
      </c>
      <c r="B103" s="1083" t="s">
        <v>1476</v>
      </c>
      <c r="C103" s="1084"/>
      <c r="D103" s="1084"/>
      <c r="E103" s="1084"/>
      <c r="F103" s="1085"/>
      <c r="G103" s="894">
        <v>8100</v>
      </c>
      <c r="H103" s="896" t="s">
        <v>2445</v>
      </c>
      <c r="I103" s="873">
        <f>I530</f>
        <v>9600</v>
      </c>
      <c r="J103" s="873">
        <f>J530</f>
        <v>6400</v>
      </c>
      <c r="K103" s="873">
        <f t="shared" si="1"/>
        <v>16000</v>
      </c>
    </row>
    <row r="104" spans="1:11" s="874" customFormat="1" ht="64.5" customHeight="1">
      <c r="A104" s="893" t="s">
        <v>244</v>
      </c>
      <c r="B104" s="1083" t="s">
        <v>266</v>
      </c>
      <c r="C104" s="1084"/>
      <c r="D104" s="1084"/>
      <c r="E104" s="1084"/>
      <c r="F104" s="1085"/>
      <c r="G104" s="894">
        <v>8100</v>
      </c>
      <c r="H104" s="895">
        <v>169711</v>
      </c>
      <c r="I104" s="873">
        <f>I532</f>
        <v>22627.200000000001</v>
      </c>
      <c r="J104" s="873">
        <f>J532</f>
        <v>15084.8</v>
      </c>
      <c r="K104" s="873">
        <f t="shared" si="1"/>
        <v>37712</v>
      </c>
    </row>
    <row r="105" spans="1:11" s="872" customFormat="1" ht="64.5" customHeight="1">
      <c r="A105" s="890"/>
      <c r="B105" s="1086" t="s">
        <v>1564</v>
      </c>
      <c r="C105" s="1087"/>
      <c r="D105" s="1087"/>
      <c r="E105" s="1087"/>
      <c r="F105" s="1088"/>
      <c r="G105" s="891"/>
      <c r="H105" s="892"/>
      <c r="I105" s="871">
        <f>SUM(I106:I107)</f>
        <v>260177.4</v>
      </c>
      <c r="J105" s="871">
        <f>SUM(J106:J107)</f>
        <v>173451.6</v>
      </c>
      <c r="K105" s="871">
        <f t="shared" si="1"/>
        <v>433629</v>
      </c>
    </row>
    <row r="106" spans="1:11" s="874" customFormat="1" ht="64.5" customHeight="1">
      <c r="A106" s="893" t="s">
        <v>2204</v>
      </c>
      <c r="B106" s="1083" t="s">
        <v>2205</v>
      </c>
      <c r="C106" s="1084"/>
      <c r="D106" s="1084"/>
      <c r="E106" s="1084"/>
      <c r="F106" s="1085"/>
      <c r="G106" s="894">
        <v>8100</v>
      </c>
      <c r="H106" s="895">
        <v>169711</v>
      </c>
      <c r="I106" s="873">
        <f>I560</f>
        <v>236177.4</v>
      </c>
      <c r="J106" s="873">
        <f>J560</f>
        <v>157451.6</v>
      </c>
      <c r="K106" s="873">
        <f t="shared" ref="K106:K123" si="2">I106+J106</f>
        <v>393629</v>
      </c>
    </row>
    <row r="107" spans="1:11" s="874" customFormat="1" ht="64.5" customHeight="1">
      <c r="A107" s="893" t="s">
        <v>244</v>
      </c>
      <c r="B107" s="1083" t="s">
        <v>266</v>
      </c>
      <c r="C107" s="1084"/>
      <c r="D107" s="1084"/>
      <c r="E107" s="1084"/>
      <c r="F107" s="1085"/>
      <c r="G107" s="894">
        <v>8100</v>
      </c>
      <c r="H107" s="895">
        <v>169711</v>
      </c>
      <c r="I107" s="873">
        <f>I564</f>
        <v>24000</v>
      </c>
      <c r="J107" s="873">
        <f>J564</f>
        <v>16000</v>
      </c>
      <c r="K107" s="873">
        <f t="shared" si="2"/>
        <v>40000</v>
      </c>
    </row>
    <row r="108" spans="1:11" s="872" customFormat="1" ht="64.5" customHeight="1">
      <c r="A108" s="890"/>
      <c r="B108" s="1086" t="s">
        <v>1930</v>
      </c>
      <c r="C108" s="1087"/>
      <c r="D108" s="1087"/>
      <c r="E108" s="1087"/>
      <c r="F108" s="1088"/>
      <c r="G108" s="891"/>
      <c r="H108" s="892"/>
      <c r="I108" s="871">
        <f>SUM(I109:I110)</f>
        <v>68421.600000000006</v>
      </c>
      <c r="J108" s="871">
        <f>SUM(J109:J110)</f>
        <v>45614.400000000001</v>
      </c>
      <c r="K108" s="871">
        <f t="shared" si="2"/>
        <v>114036</v>
      </c>
    </row>
    <row r="109" spans="1:11" s="874" customFormat="1" ht="64.5" customHeight="1">
      <c r="A109" s="893" t="s">
        <v>2204</v>
      </c>
      <c r="B109" s="1083" t="s">
        <v>2205</v>
      </c>
      <c r="C109" s="1084"/>
      <c r="D109" s="1084"/>
      <c r="E109" s="1084"/>
      <c r="F109" s="1085"/>
      <c r="G109" s="894">
        <v>8100</v>
      </c>
      <c r="H109" s="895">
        <v>169711</v>
      </c>
      <c r="I109" s="873">
        <f>I778</f>
        <v>51321.599999999999</v>
      </c>
      <c r="J109" s="873">
        <f>J778</f>
        <v>34214.400000000001</v>
      </c>
      <c r="K109" s="873">
        <f t="shared" si="2"/>
        <v>85536</v>
      </c>
    </row>
    <row r="110" spans="1:11" s="874" customFormat="1" ht="64.5" customHeight="1">
      <c r="A110" s="893" t="s">
        <v>244</v>
      </c>
      <c r="B110" s="1083" t="s">
        <v>266</v>
      </c>
      <c r="C110" s="1084"/>
      <c r="D110" s="1084"/>
      <c r="E110" s="1084"/>
      <c r="F110" s="1085"/>
      <c r="G110" s="894">
        <v>8100</v>
      </c>
      <c r="H110" s="895">
        <v>169711</v>
      </c>
      <c r="I110" s="873">
        <f>I783</f>
        <v>17100</v>
      </c>
      <c r="J110" s="873">
        <f>J783</f>
        <v>11400</v>
      </c>
      <c r="K110" s="873">
        <f t="shared" si="2"/>
        <v>28500</v>
      </c>
    </row>
    <row r="111" spans="1:11" s="872" customFormat="1" ht="64.5" customHeight="1">
      <c r="A111" s="890"/>
      <c r="B111" s="1086" t="s">
        <v>1948</v>
      </c>
      <c r="C111" s="1087"/>
      <c r="D111" s="1087"/>
      <c r="E111" s="1087"/>
      <c r="F111" s="1088"/>
      <c r="G111" s="891"/>
      <c r="H111" s="892"/>
      <c r="I111" s="871">
        <f>SUM(I112:I113)</f>
        <v>61584.000000000007</v>
      </c>
      <c r="J111" s="871">
        <f>SUM(J112:J113)</f>
        <v>41056</v>
      </c>
      <c r="K111" s="871">
        <f t="shared" si="2"/>
        <v>102640</v>
      </c>
    </row>
    <row r="112" spans="1:11" s="874" customFormat="1" ht="64.5" customHeight="1">
      <c r="A112" s="893" t="s">
        <v>2204</v>
      </c>
      <c r="B112" s="1083" t="s">
        <v>2205</v>
      </c>
      <c r="C112" s="1084"/>
      <c r="D112" s="1084"/>
      <c r="E112" s="1084"/>
      <c r="F112" s="1085"/>
      <c r="G112" s="894">
        <v>8100</v>
      </c>
      <c r="H112" s="895">
        <v>169711</v>
      </c>
      <c r="I112" s="873">
        <f>I790</f>
        <v>55449.600000000006</v>
      </c>
      <c r="J112" s="873">
        <f>J790</f>
        <v>36966.400000000001</v>
      </c>
      <c r="K112" s="873">
        <f t="shared" si="2"/>
        <v>92416</v>
      </c>
    </row>
    <row r="113" spans="1:11" s="874" customFormat="1" ht="64.5" customHeight="1">
      <c r="A113" s="893" t="s">
        <v>244</v>
      </c>
      <c r="B113" s="1083" t="s">
        <v>266</v>
      </c>
      <c r="C113" s="1084"/>
      <c r="D113" s="1084"/>
      <c r="E113" s="1084"/>
      <c r="F113" s="1085"/>
      <c r="G113" s="894">
        <v>8100</v>
      </c>
      <c r="H113" s="895">
        <v>169711</v>
      </c>
      <c r="I113" s="873">
        <f>I794</f>
        <v>6134.4</v>
      </c>
      <c r="J113" s="873">
        <f>J794</f>
        <v>4089.6</v>
      </c>
      <c r="K113" s="873">
        <f t="shared" si="2"/>
        <v>10224</v>
      </c>
    </row>
    <row r="114" spans="1:11" s="872" customFormat="1" ht="64.5" customHeight="1">
      <c r="A114" s="890"/>
      <c r="B114" s="1086" t="s">
        <v>1710</v>
      </c>
      <c r="C114" s="1087"/>
      <c r="D114" s="1087"/>
      <c r="E114" s="1087"/>
      <c r="F114" s="1088"/>
      <c r="G114" s="891"/>
      <c r="H114" s="892"/>
      <c r="I114" s="871">
        <f>SUM(I115:I115)</f>
        <v>167322.6</v>
      </c>
      <c r="J114" s="871">
        <f>SUM(J115:J115)</f>
        <v>111548.4</v>
      </c>
      <c r="K114" s="871">
        <f t="shared" si="2"/>
        <v>278871</v>
      </c>
    </row>
    <row r="115" spans="1:11" s="874" customFormat="1" ht="64.5" customHeight="1">
      <c r="A115" s="893" t="s">
        <v>2204</v>
      </c>
      <c r="B115" s="1083" t="s">
        <v>2205</v>
      </c>
      <c r="C115" s="1084"/>
      <c r="D115" s="1084"/>
      <c r="E115" s="1084"/>
      <c r="F115" s="1085"/>
      <c r="G115" s="894">
        <v>8100</v>
      </c>
      <c r="H115" s="895">
        <v>169711</v>
      </c>
      <c r="I115" s="873">
        <f>I570</f>
        <v>167322.6</v>
      </c>
      <c r="J115" s="873">
        <f>J570</f>
        <v>111548.4</v>
      </c>
      <c r="K115" s="873">
        <f t="shared" si="2"/>
        <v>278871</v>
      </c>
    </row>
    <row r="116" spans="1:11" s="872" customFormat="1" ht="64.5" customHeight="1">
      <c r="A116" s="890"/>
      <c r="B116" s="1086" t="s">
        <v>1879</v>
      </c>
      <c r="C116" s="1087"/>
      <c r="D116" s="1087"/>
      <c r="E116" s="1087"/>
      <c r="F116" s="1088"/>
      <c r="G116" s="891"/>
      <c r="H116" s="892"/>
      <c r="I116" s="871">
        <f>SUM(I117:I118)</f>
        <v>79675.199999999997</v>
      </c>
      <c r="J116" s="871">
        <f>SUM(J117:J118)</f>
        <v>53116.800000000003</v>
      </c>
      <c r="K116" s="871">
        <f t="shared" si="2"/>
        <v>132792</v>
      </c>
    </row>
    <row r="117" spans="1:11" s="874" customFormat="1" ht="64.5" customHeight="1">
      <c r="A117" s="893" t="s">
        <v>2204</v>
      </c>
      <c r="B117" s="1083" t="s">
        <v>2205</v>
      </c>
      <c r="C117" s="1084"/>
      <c r="D117" s="1084"/>
      <c r="E117" s="1084"/>
      <c r="F117" s="1085"/>
      <c r="G117" s="894">
        <v>8100</v>
      </c>
      <c r="H117" s="895">
        <v>169711</v>
      </c>
      <c r="I117" s="873">
        <f>I800</f>
        <v>77275.199999999997</v>
      </c>
      <c r="J117" s="873">
        <f>J800</f>
        <v>51516.800000000003</v>
      </c>
      <c r="K117" s="873">
        <f t="shared" si="2"/>
        <v>128792</v>
      </c>
    </row>
    <row r="118" spans="1:11" s="874" customFormat="1" ht="64.5" customHeight="1">
      <c r="A118" s="893" t="s">
        <v>244</v>
      </c>
      <c r="B118" s="1083" t="s">
        <v>266</v>
      </c>
      <c r="C118" s="1084"/>
      <c r="D118" s="1084"/>
      <c r="E118" s="1084"/>
      <c r="F118" s="1085"/>
      <c r="G118" s="894">
        <v>8100</v>
      </c>
      <c r="H118" s="895">
        <v>169711</v>
      </c>
      <c r="I118" s="873">
        <f>I807</f>
        <v>2400</v>
      </c>
      <c r="J118" s="873">
        <f>J807</f>
        <v>1600</v>
      </c>
      <c r="K118" s="873">
        <f t="shared" si="2"/>
        <v>4000</v>
      </c>
    </row>
    <row r="119" spans="1:11" s="872" customFormat="1" ht="64.5" customHeight="1">
      <c r="A119" s="890"/>
      <c r="B119" s="1086" t="s">
        <v>1704</v>
      </c>
      <c r="C119" s="1087"/>
      <c r="D119" s="1087"/>
      <c r="E119" s="1087"/>
      <c r="F119" s="1088"/>
      <c r="G119" s="891"/>
      <c r="H119" s="892"/>
      <c r="I119" s="871">
        <f>SUM(I120:I123)</f>
        <v>777544.2</v>
      </c>
      <c r="J119" s="871">
        <f>SUM(J120:J123)</f>
        <v>439528.8</v>
      </c>
      <c r="K119" s="871">
        <f t="shared" si="2"/>
        <v>1217073</v>
      </c>
    </row>
    <row r="120" spans="1:11" s="874" customFormat="1" ht="64.5" customHeight="1">
      <c r="A120" s="893" t="s">
        <v>2204</v>
      </c>
      <c r="B120" s="1083" t="s">
        <v>2205</v>
      </c>
      <c r="C120" s="1084"/>
      <c r="D120" s="1084"/>
      <c r="E120" s="1084"/>
      <c r="F120" s="1085"/>
      <c r="G120" s="894">
        <v>8100</v>
      </c>
      <c r="H120" s="895">
        <v>169711</v>
      </c>
      <c r="I120" s="873">
        <f>I211</f>
        <v>36306.6</v>
      </c>
      <c r="J120" s="873">
        <f>J211</f>
        <v>24204.400000000001</v>
      </c>
      <c r="K120" s="873">
        <f t="shared" si="2"/>
        <v>60511</v>
      </c>
    </row>
    <row r="121" spans="1:11" s="874" customFormat="1" ht="64.5" customHeight="1">
      <c r="A121" s="893" t="s">
        <v>196</v>
      </c>
      <c r="B121" s="1083" t="s">
        <v>2206</v>
      </c>
      <c r="C121" s="1084"/>
      <c r="D121" s="1084"/>
      <c r="E121" s="1084"/>
      <c r="F121" s="1085"/>
      <c r="G121" s="894">
        <v>8100</v>
      </c>
      <c r="H121" s="895">
        <v>169714</v>
      </c>
      <c r="I121" s="873">
        <f>I213-I122</f>
        <v>692098.4</v>
      </c>
      <c r="J121" s="873">
        <f>J213-J122</f>
        <v>401061.6</v>
      </c>
      <c r="K121" s="873">
        <f t="shared" si="2"/>
        <v>1093160</v>
      </c>
    </row>
    <row r="122" spans="1:11" s="874" customFormat="1" ht="64.5" customHeight="1">
      <c r="A122" s="893"/>
      <c r="B122" s="1083" t="s">
        <v>2463</v>
      </c>
      <c r="C122" s="1084"/>
      <c r="D122" s="1084"/>
      <c r="E122" s="1084"/>
      <c r="F122" s="1085"/>
      <c r="G122" s="894">
        <v>8100</v>
      </c>
      <c r="H122" s="895">
        <v>169714</v>
      </c>
      <c r="I122" s="873">
        <f>I218+I219</f>
        <v>27745</v>
      </c>
      <c r="J122" s="873">
        <f>J218+J219</f>
        <v>0</v>
      </c>
      <c r="K122" s="873">
        <f>I122+J122</f>
        <v>27745</v>
      </c>
    </row>
    <row r="123" spans="1:11" s="874" customFormat="1" ht="64.5" customHeight="1">
      <c r="A123" s="893" t="s">
        <v>244</v>
      </c>
      <c r="B123" s="1083" t="s">
        <v>266</v>
      </c>
      <c r="C123" s="1084"/>
      <c r="D123" s="1084"/>
      <c r="E123" s="1084"/>
      <c r="F123" s="1085"/>
      <c r="G123" s="894">
        <v>8100</v>
      </c>
      <c r="H123" s="895">
        <v>169711</v>
      </c>
      <c r="I123" s="873">
        <f>I220</f>
        <v>21394.2</v>
      </c>
      <c r="J123" s="873">
        <f>J220</f>
        <v>14262.8</v>
      </c>
      <c r="K123" s="873">
        <f t="shared" si="2"/>
        <v>35657</v>
      </c>
    </row>
    <row r="124" spans="1:11" s="874" customFormat="1" ht="64.5" customHeight="1">
      <c r="A124" s="905"/>
      <c r="B124" s="906"/>
      <c r="C124" s="906"/>
      <c r="D124" s="906"/>
      <c r="E124" s="906"/>
      <c r="F124" s="906"/>
      <c r="G124" s="907"/>
      <c r="H124" s="907"/>
      <c r="I124" s="908"/>
      <c r="J124" s="908"/>
      <c r="K124" s="908"/>
    </row>
    <row r="125" spans="1:11" s="548" customFormat="1" ht="42" customHeight="1">
      <c r="A125" s="761"/>
      <c r="B125" s="760"/>
      <c r="C125" s="760"/>
      <c r="D125" s="760"/>
      <c r="E125" s="760"/>
      <c r="F125" s="760"/>
      <c r="G125" s="762"/>
      <c r="H125" s="762"/>
      <c r="I125" s="763"/>
      <c r="J125" s="763"/>
      <c r="K125" s="763"/>
    </row>
    <row r="126" spans="1:11" ht="45">
      <c r="A126" s="979" t="s">
        <v>51</v>
      </c>
      <c r="B126" s="979"/>
      <c r="C126" s="979"/>
      <c r="D126" s="979"/>
      <c r="E126" s="979"/>
      <c r="F126" s="979"/>
      <c r="G126" s="979"/>
      <c r="H126" s="979"/>
      <c r="I126" s="979"/>
      <c r="J126" s="979"/>
      <c r="K126" s="979"/>
    </row>
    <row r="127" spans="1:11" ht="45">
      <c r="A127" s="979" t="s">
        <v>52</v>
      </c>
      <c r="B127" s="979"/>
      <c r="C127" s="979"/>
      <c r="D127" s="979"/>
      <c r="E127" s="979"/>
      <c r="F127" s="979"/>
      <c r="G127" s="979"/>
      <c r="H127" s="979"/>
      <c r="I127" s="979"/>
      <c r="J127" s="979"/>
      <c r="K127" s="979"/>
    </row>
    <row r="128" spans="1:11" ht="45">
      <c r="A128" s="1040" t="s">
        <v>50</v>
      </c>
      <c r="B128" s="1040"/>
      <c r="C128" s="1040"/>
      <c r="D128" s="1040"/>
      <c r="E128" s="1040"/>
      <c r="F128" s="1040"/>
      <c r="G128" s="1040"/>
      <c r="H128" s="1040"/>
      <c r="I128" s="1040"/>
      <c r="J128" s="1040"/>
      <c r="K128" s="1040"/>
    </row>
    <row r="129" spans="1:11" ht="44.25">
      <c r="A129" s="736"/>
      <c r="B129" s="736"/>
      <c r="C129" s="736"/>
      <c r="D129" s="736"/>
      <c r="E129" s="736"/>
      <c r="F129" s="736"/>
      <c r="G129" s="838"/>
      <c r="H129" s="838"/>
      <c r="I129" s="838"/>
      <c r="J129" s="838"/>
      <c r="K129" s="838"/>
    </row>
    <row r="130" spans="1:11" ht="45">
      <c r="A130" s="979" t="s">
        <v>2214</v>
      </c>
      <c r="B130" s="979"/>
      <c r="C130" s="979"/>
      <c r="D130" s="979"/>
      <c r="E130" s="979"/>
      <c r="F130" s="979"/>
      <c r="G130" s="979"/>
      <c r="H130" s="979"/>
      <c r="I130" s="979"/>
      <c r="J130" s="979"/>
      <c r="K130" s="979"/>
    </row>
    <row r="131" spans="1:11" s="620" customFormat="1" ht="33">
      <c r="A131" s="65"/>
      <c r="B131" s="65"/>
      <c r="C131" s="65"/>
      <c r="D131" s="65"/>
      <c r="E131" s="65"/>
      <c r="F131" s="65"/>
      <c r="G131" s="68"/>
      <c r="H131" s="68"/>
      <c r="I131" s="68"/>
      <c r="J131" s="68"/>
      <c r="K131" s="68"/>
    </row>
    <row r="132" spans="1:11" ht="20.100000000000001" customHeight="1">
      <c r="A132" s="65"/>
      <c r="B132" s="65"/>
      <c r="C132" s="65"/>
      <c r="D132" s="65"/>
      <c r="E132" s="65"/>
      <c r="F132" s="65"/>
      <c r="G132" s="68"/>
      <c r="H132" s="68"/>
      <c r="I132" s="68"/>
      <c r="J132" s="68"/>
      <c r="K132" s="68"/>
    </row>
    <row r="133" spans="1:11" ht="20.100000000000001" customHeight="1">
      <c r="A133" s="979"/>
      <c r="B133" s="979"/>
      <c r="C133" s="979"/>
      <c r="D133" s="979"/>
      <c r="E133" s="979"/>
      <c r="F133" s="979"/>
      <c r="G133" s="979"/>
      <c r="H133" s="979"/>
      <c r="I133" s="979"/>
      <c r="J133" s="979"/>
      <c r="K133" s="979"/>
    </row>
    <row r="134" spans="1:11" ht="45.75" customHeight="1">
      <c r="A134" s="1029" t="s">
        <v>2492</v>
      </c>
      <c r="B134" s="1030"/>
      <c r="C134" s="1030"/>
      <c r="D134" s="1030"/>
      <c r="E134" s="1030"/>
      <c r="F134" s="1030"/>
      <c r="G134" s="1030"/>
      <c r="H134" s="1030"/>
      <c r="I134" s="1030"/>
      <c r="J134" s="1030"/>
      <c r="K134" s="1030"/>
    </row>
    <row r="135" spans="1:11" s="904" customFormat="1" ht="64.5" customHeight="1">
      <c r="A135" s="1094" t="s">
        <v>183</v>
      </c>
      <c r="B135" s="1094" t="s">
        <v>209</v>
      </c>
      <c r="C135" s="886"/>
      <c r="D135" s="886"/>
      <c r="E135" s="886"/>
      <c r="F135" s="887"/>
      <c r="G135" s="1078" t="s">
        <v>440</v>
      </c>
      <c r="H135" s="1080" t="s">
        <v>16</v>
      </c>
      <c r="I135" s="1082" t="s">
        <v>1490</v>
      </c>
      <c r="J135" s="1082" t="s">
        <v>2507</v>
      </c>
      <c r="K135" s="1089" t="s">
        <v>200</v>
      </c>
    </row>
    <row r="136" spans="1:11" s="904" customFormat="1" ht="64.5" customHeight="1">
      <c r="A136" s="1095"/>
      <c r="B136" s="1095"/>
      <c r="C136" s="888"/>
      <c r="D136" s="888"/>
      <c r="E136" s="888"/>
      <c r="F136" s="889"/>
      <c r="G136" s="1079"/>
      <c r="H136" s="1081"/>
      <c r="I136" s="1082"/>
      <c r="J136" s="1082"/>
      <c r="K136" s="1090"/>
    </row>
    <row r="137" spans="1:11" s="872" customFormat="1" ht="64.5" customHeight="1">
      <c r="A137" s="890"/>
      <c r="B137" s="1086" t="s">
        <v>1844</v>
      </c>
      <c r="C137" s="1087"/>
      <c r="D137" s="1087"/>
      <c r="E137" s="1087"/>
      <c r="F137" s="1088"/>
      <c r="G137" s="891"/>
      <c r="H137" s="892"/>
      <c r="I137" s="871">
        <f>SUM(I138:I141)</f>
        <v>113415.6</v>
      </c>
      <c r="J137" s="871">
        <f>SUM(J138:J141)</f>
        <v>75610.399999999994</v>
      </c>
      <c r="K137" s="871">
        <f t="shared" ref="K137:K183" si="3">I137+J137</f>
        <v>189026</v>
      </c>
    </row>
    <row r="138" spans="1:11" s="874" customFormat="1" ht="64.5" customHeight="1">
      <c r="A138" s="893" t="s">
        <v>2275</v>
      </c>
      <c r="B138" s="1083" t="s">
        <v>2212</v>
      </c>
      <c r="C138" s="1084"/>
      <c r="D138" s="1084"/>
      <c r="E138" s="1084"/>
      <c r="F138" s="1085"/>
      <c r="G138" s="894">
        <v>8100</v>
      </c>
      <c r="H138" s="895">
        <v>169711</v>
      </c>
      <c r="I138" s="873">
        <f>I603</f>
        <v>54003</v>
      </c>
      <c r="J138" s="873">
        <f>J603</f>
        <v>36002</v>
      </c>
      <c r="K138" s="873">
        <f t="shared" si="3"/>
        <v>90005</v>
      </c>
    </row>
    <row r="139" spans="1:11" s="874" customFormat="1" ht="64.5" customHeight="1">
      <c r="A139" s="893" t="s">
        <v>2204</v>
      </c>
      <c r="B139" s="1083" t="s">
        <v>2205</v>
      </c>
      <c r="C139" s="1084"/>
      <c r="D139" s="1084"/>
      <c r="E139" s="1084"/>
      <c r="F139" s="1085"/>
      <c r="G139" s="894">
        <v>8100</v>
      </c>
      <c r="H139" s="895">
        <v>169711</v>
      </c>
      <c r="I139" s="873">
        <f>I608</f>
        <v>48394.8</v>
      </c>
      <c r="J139" s="873">
        <f>J608</f>
        <v>32263.199999999997</v>
      </c>
      <c r="K139" s="873">
        <f t="shared" si="3"/>
        <v>80658</v>
      </c>
    </row>
    <row r="140" spans="1:11" s="874" customFormat="1" ht="64.5" customHeight="1">
      <c r="A140" s="893" t="s">
        <v>193</v>
      </c>
      <c r="B140" s="1083" t="s">
        <v>1476</v>
      </c>
      <c r="C140" s="1084"/>
      <c r="D140" s="1084"/>
      <c r="E140" s="1084"/>
      <c r="F140" s="1085"/>
      <c r="G140" s="894">
        <v>8100</v>
      </c>
      <c r="H140" s="896" t="s">
        <v>2445</v>
      </c>
      <c r="I140" s="873">
        <f>I617</f>
        <v>3900</v>
      </c>
      <c r="J140" s="873">
        <f>J617</f>
        <v>2600</v>
      </c>
      <c r="K140" s="873">
        <f t="shared" si="3"/>
        <v>6500</v>
      </c>
    </row>
    <row r="141" spans="1:11" s="874" customFormat="1" ht="64.5" customHeight="1">
      <c r="A141" s="893" t="s">
        <v>244</v>
      </c>
      <c r="B141" s="1083" t="s">
        <v>266</v>
      </c>
      <c r="C141" s="1084"/>
      <c r="D141" s="1084"/>
      <c r="E141" s="1084"/>
      <c r="F141" s="1085"/>
      <c r="G141" s="894">
        <v>8100</v>
      </c>
      <c r="H141" s="895">
        <v>169711</v>
      </c>
      <c r="I141" s="873">
        <f>I619</f>
        <v>7117.7999999999993</v>
      </c>
      <c r="J141" s="873">
        <f>J619</f>
        <v>4745.2</v>
      </c>
      <c r="K141" s="873">
        <f t="shared" si="3"/>
        <v>11863</v>
      </c>
    </row>
    <row r="142" spans="1:11" s="872" customFormat="1" ht="64.5" customHeight="1">
      <c r="A142" s="890"/>
      <c r="B142" s="1086" t="s">
        <v>2047</v>
      </c>
      <c r="C142" s="1087"/>
      <c r="D142" s="1087"/>
      <c r="E142" s="1087"/>
      <c r="F142" s="1088"/>
      <c r="G142" s="891"/>
      <c r="H142" s="892"/>
      <c r="I142" s="871">
        <f>SUM(I143:I146)</f>
        <v>499128.00000000006</v>
      </c>
      <c r="J142" s="871">
        <f>SUM(J143:J146)</f>
        <v>332752</v>
      </c>
      <c r="K142" s="871">
        <f t="shared" si="3"/>
        <v>831880</v>
      </c>
    </row>
    <row r="143" spans="1:11" s="874" customFormat="1" ht="64.5" customHeight="1">
      <c r="A143" s="893" t="s">
        <v>2275</v>
      </c>
      <c r="B143" s="1083" t="s">
        <v>2212</v>
      </c>
      <c r="C143" s="1084"/>
      <c r="D143" s="1084"/>
      <c r="E143" s="1084"/>
      <c r="F143" s="1085"/>
      <c r="G143" s="894">
        <v>8100</v>
      </c>
      <c r="H143" s="895">
        <v>169711</v>
      </c>
      <c r="I143" s="873">
        <f>I975</f>
        <v>192533.4</v>
      </c>
      <c r="J143" s="873">
        <f>J975</f>
        <v>128355.6</v>
      </c>
      <c r="K143" s="873">
        <f t="shared" si="3"/>
        <v>320889</v>
      </c>
    </row>
    <row r="144" spans="1:11" s="874" customFormat="1" ht="64.5" customHeight="1">
      <c r="A144" s="893" t="s">
        <v>2204</v>
      </c>
      <c r="B144" s="1083" t="s">
        <v>2205</v>
      </c>
      <c r="C144" s="1084"/>
      <c r="D144" s="1084"/>
      <c r="E144" s="1084"/>
      <c r="F144" s="1085"/>
      <c r="G144" s="894">
        <v>8100</v>
      </c>
      <c r="H144" s="895">
        <v>169711</v>
      </c>
      <c r="I144" s="873">
        <f>I982</f>
        <v>232736.40000000002</v>
      </c>
      <c r="J144" s="873">
        <f>J982</f>
        <v>155157.6</v>
      </c>
      <c r="K144" s="873">
        <f t="shared" si="3"/>
        <v>387894</v>
      </c>
    </row>
    <row r="145" spans="1:11" s="874" customFormat="1" ht="64.5" customHeight="1">
      <c r="A145" s="893" t="s">
        <v>193</v>
      </c>
      <c r="B145" s="1083" t="s">
        <v>1476</v>
      </c>
      <c r="C145" s="1084"/>
      <c r="D145" s="1084"/>
      <c r="E145" s="1084"/>
      <c r="F145" s="1085"/>
      <c r="G145" s="894">
        <v>8100</v>
      </c>
      <c r="H145" s="896" t="s">
        <v>2445</v>
      </c>
      <c r="I145" s="873">
        <f>I988</f>
        <v>16200</v>
      </c>
      <c r="J145" s="873">
        <f>J988</f>
        <v>10800</v>
      </c>
      <c r="K145" s="873">
        <f t="shared" si="3"/>
        <v>27000</v>
      </c>
    </row>
    <row r="146" spans="1:11" s="874" customFormat="1" ht="64.5" customHeight="1">
      <c r="A146" s="893" t="s">
        <v>244</v>
      </c>
      <c r="B146" s="1083" t="s">
        <v>266</v>
      </c>
      <c r="C146" s="1084"/>
      <c r="D146" s="1084"/>
      <c r="E146" s="1084"/>
      <c r="F146" s="1085"/>
      <c r="G146" s="894">
        <v>8100</v>
      </c>
      <c r="H146" s="895">
        <v>169711</v>
      </c>
      <c r="I146" s="873">
        <f>I990</f>
        <v>57658.2</v>
      </c>
      <c r="J146" s="873">
        <f>J990</f>
        <v>38438.800000000003</v>
      </c>
      <c r="K146" s="873">
        <f t="shared" si="3"/>
        <v>96097</v>
      </c>
    </row>
    <row r="147" spans="1:11" s="872" customFormat="1" ht="64.5" customHeight="1">
      <c r="A147" s="890"/>
      <c r="B147" s="1086" t="s">
        <v>2070</v>
      </c>
      <c r="C147" s="1087"/>
      <c r="D147" s="1087"/>
      <c r="E147" s="1087"/>
      <c r="F147" s="1088"/>
      <c r="G147" s="891"/>
      <c r="H147" s="892"/>
      <c r="I147" s="871">
        <f>SUM(I148:I150)</f>
        <v>186247.8</v>
      </c>
      <c r="J147" s="871">
        <f>SUM(J148:J150)</f>
        <v>124165.20000000001</v>
      </c>
      <c r="K147" s="871">
        <f t="shared" si="3"/>
        <v>310413</v>
      </c>
    </row>
    <row r="148" spans="1:11" s="874" customFormat="1" ht="64.5" customHeight="1">
      <c r="A148" s="893" t="s">
        <v>2275</v>
      </c>
      <c r="B148" s="1083" t="s">
        <v>2212</v>
      </c>
      <c r="C148" s="1084"/>
      <c r="D148" s="1084"/>
      <c r="E148" s="1084"/>
      <c r="F148" s="1085"/>
      <c r="G148" s="894">
        <v>8100</v>
      </c>
      <c r="H148" s="895">
        <v>169711</v>
      </c>
      <c r="I148" s="873">
        <f>I1017</f>
        <v>3600</v>
      </c>
      <c r="J148" s="873">
        <f>J1017</f>
        <v>2400</v>
      </c>
      <c r="K148" s="873">
        <f t="shared" si="3"/>
        <v>6000</v>
      </c>
    </row>
    <row r="149" spans="1:11" s="874" customFormat="1" ht="64.5" customHeight="1">
      <c r="A149" s="893" t="s">
        <v>2204</v>
      </c>
      <c r="B149" s="1083" t="s">
        <v>2205</v>
      </c>
      <c r="C149" s="1084"/>
      <c r="D149" s="1084"/>
      <c r="E149" s="1084"/>
      <c r="F149" s="1085"/>
      <c r="G149" s="894">
        <v>8100</v>
      </c>
      <c r="H149" s="895">
        <v>169711</v>
      </c>
      <c r="I149" s="873">
        <f>I1019</f>
        <v>177415.8</v>
      </c>
      <c r="J149" s="873">
        <f>J1019</f>
        <v>118277.20000000001</v>
      </c>
      <c r="K149" s="873">
        <f t="shared" si="3"/>
        <v>295693</v>
      </c>
    </row>
    <row r="150" spans="1:11" s="874" customFormat="1" ht="64.5" customHeight="1">
      <c r="A150" s="893" t="s">
        <v>244</v>
      </c>
      <c r="B150" s="1083" t="s">
        <v>266</v>
      </c>
      <c r="C150" s="1084"/>
      <c r="D150" s="1084"/>
      <c r="E150" s="1084"/>
      <c r="F150" s="1085"/>
      <c r="G150" s="894">
        <v>8100</v>
      </c>
      <c r="H150" s="895">
        <v>169711</v>
      </c>
      <c r="I150" s="873">
        <f>I1023</f>
        <v>5232</v>
      </c>
      <c r="J150" s="873">
        <f>J1023</f>
        <v>3488</v>
      </c>
      <c r="K150" s="873">
        <f t="shared" si="3"/>
        <v>8720</v>
      </c>
    </row>
    <row r="151" spans="1:11" s="872" customFormat="1" ht="64.5" customHeight="1">
      <c r="A151" s="890"/>
      <c r="B151" s="1086" t="s">
        <v>2137</v>
      </c>
      <c r="C151" s="1087"/>
      <c r="D151" s="1087"/>
      <c r="E151" s="1087"/>
      <c r="F151" s="1088"/>
      <c r="G151" s="891"/>
      <c r="H151" s="892"/>
      <c r="I151" s="871">
        <f>SUM(I152:I155)</f>
        <v>284751.00000000006</v>
      </c>
      <c r="J151" s="871">
        <f>SUM(J152:J155)</f>
        <v>189834</v>
      </c>
      <c r="K151" s="871">
        <f t="shared" si="3"/>
        <v>474585.00000000006</v>
      </c>
    </row>
    <row r="152" spans="1:11" s="874" customFormat="1" ht="64.5" customHeight="1">
      <c r="A152" s="893" t="s">
        <v>2275</v>
      </c>
      <c r="B152" s="1083" t="s">
        <v>2212</v>
      </c>
      <c r="C152" s="1084"/>
      <c r="D152" s="1084"/>
      <c r="E152" s="1084"/>
      <c r="F152" s="1085"/>
      <c r="G152" s="894">
        <v>8100</v>
      </c>
      <c r="H152" s="895">
        <v>169711</v>
      </c>
      <c r="I152" s="873">
        <f>I1030</f>
        <v>50820</v>
      </c>
      <c r="J152" s="873">
        <f>J1030</f>
        <v>33880</v>
      </c>
      <c r="K152" s="873">
        <f t="shared" si="3"/>
        <v>84700</v>
      </c>
    </row>
    <row r="153" spans="1:11" s="874" customFormat="1" ht="64.5" customHeight="1">
      <c r="A153" s="893" t="s">
        <v>2204</v>
      </c>
      <c r="B153" s="1083" t="s">
        <v>2205</v>
      </c>
      <c r="C153" s="1084"/>
      <c r="D153" s="1084"/>
      <c r="E153" s="1084"/>
      <c r="F153" s="1085"/>
      <c r="G153" s="894">
        <v>8100</v>
      </c>
      <c r="H153" s="895">
        <v>169711</v>
      </c>
      <c r="I153" s="873">
        <f>I1032</f>
        <v>196490.22000000003</v>
      </c>
      <c r="J153" s="873">
        <f>J1032</f>
        <v>130993.48000000001</v>
      </c>
      <c r="K153" s="873">
        <f t="shared" si="3"/>
        <v>327483.70000000007</v>
      </c>
    </row>
    <row r="154" spans="1:11" s="874" customFormat="1" ht="64.5" customHeight="1">
      <c r="A154" s="893" t="s">
        <v>193</v>
      </c>
      <c r="B154" s="1083" t="s">
        <v>1476</v>
      </c>
      <c r="C154" s="1084"/>
      <c r="D154" s="1084"/>
      <c r="E154" s="1084"/>
      <c r="F154" s="1085"/>
      <c r="G154" s="894">
        <v>8100</v>
      </c>
      <c r="H154" s="896" t="s">
        <v>2445</v>
      </c>
      <c r="I154" s="873">
        <f>I1042</f>
        <v>31986.780000000002</v>
      </c>
      <c r="J154" s="873">
        <f>J1042</f>
        <v>21324.520000000004</v>
      </c>
      <c r="K154" s="873">
        <f t="shared" si="3"/>
        <v>53311.3</v>
      </c>
    </row>
    <row r="155" spans="1:11" s="874" customFormat="1" ht="64.5" customHeight="1">
      <c r="A155" s="893" t="s">
        <v>244</v>
      </c>
      <c r="B155" s="1083" t="s">
        <v>266</v>
      </c>
      <c r="C155" s="1084"/>
      <c r="D155" s="1084"/>
      <c r="E155" s="1084"/>
      <c r="F155" s="1085"/>
      <c r="G155" s="894">
        <v>8100</v>
      </c>
      <c r="H155" s="895">
        <v>169711</v>
      </c>
      <c r="I155" s="873">
        <f>I1044</f>
        <v>5454</v>
      </c>
      <c r="J155" s="873">
        <f>J1044</f>
        <v>3636</v>
      </c>
      <c r="K155" s="873">
        <f t="shared" si="3"/>
        <v>9090</v>
      </c>
    </row>
    <row r="156" spans="1:11" s="872" customFormat="1" ht="64.5" customHeight="1">
      <c r="A156" s="890"/>
      <c r="B156" s="1086" t="s">
        <v>2174</v>
      </c>
      <c r="C156" s="1087"/>
      <c r="D156" s="1087"/>
      <c r="E156" s="1087"/>
      <c r="F156" s="1088"/>
      <c r="G156" s="891"/>
      <c r="H156" s="892"/>
      <c r="I156" s="871">
        <f>SUM(I157:I159)</f>
        <v>65636.399999999994</v>
      </c>
      <c r="J156" s="871">
        <f>SUM(J157:J159)</f>
        <v>43757.599999999999</v>
      </c>
      <c r="K156" s="871">
        <f t="shared" si="3"/>
        <v>109394</v>
      </c>
    </row>
    <row r="157" spans="1:11" s="874" customFormat="1" ht="64.5" customHeight="1">
      <c r="A157" s="893" t="s">
        <v>2204</v>
      </c>
      <c r="B157" s="1083" t="s">
        <v>2205</v>
      </c>
      <c r="C157" s="1084"/>
      <c r="D157" s="1084"/>
      <c r="E157" s="1084"/>
      <c r="F157" s="1085"/>
      <c r="G157" s="894">
        <v>8100</v>
      </c>
      <c r="H157" s="895">
        <v>169711</v>
      </c>
      <c r="I157" s="873">
        <f>I1060</f>
        <v>56276.4</v>
      </c>
      <c r="J157" s="873">
        <f>J1060</f>
        <v>37517.599999999999</v>
      </c>
      <c r="K157" s="873">
        <f t="shared" si="3"/>
        <v>93794</v>
      </c>
    </row>
    <row r="158" spans="1:11" s="874" customFormat="1" ht="64.5" customHeight="1">
      <c r="A158" s="893" t="s">
        <v>193</v>
      </c>
      <c r="B158" s="1083" t="s">
        <v>1476</v>
      </c>
      <c r="C158" s="1084"/>
      <c r="D158" s="1084"/>
      <c r="E158" s="1084"/>
      <c r="F158" s="1085"/>
      <c r="G158" s="894">
        <v>8100</v>
      </c>
      <c r="H158" s="896" t="s">
        <v>2445</v>
      </c>
      <c r="I158" s="873">
        <f>I1066</f>
        <v>3960</v>
      </c>
      <c r="J158" s="873">
        <f>J1066</f>
        <v>2640</v>
      </c>
      <c r="K158" s="873">
        <f t="shared" si="3"/>
        <v>6600</v>
      </c>
    </row>
    <row r="159" spans="1:11" s="874" customFormat="1" ht="64.5" customHeight="1">
      <c r="A159" s="893" t="s">
        <v>244</v>
      </c>
      <c r="B159" s="1083" t="s">
        <v>266</v>
      </c>
      <c r="C159" s="1084"/>
      <c r="D159" s="1084"/>
      <c r="E159" s="1084"/>
      <c r="F159" s="1085"/>
      <c r="G159" s="894">
        <v>8100</v>
      </c>
      <c r="H159" s="895">
        <v>169711</v>
      </c>
      <c r="I159" s="873">
        <f>I1068</f>
        <v>5400</v>
      </c>
      <c r="J159" s="873">
        <f>J1068</f>
        <v>3600</v>
      </c>
      <c r="K159" s="873">
        <f t="shared" si="3"/>
        <v>9000</v>
      </c>
    </row>
    <row r="160" spans="1:11" s="872" customFormat="1" ht="64.5" customHeight="1">
      <c r="A160" s="890"/>
      <c r="B160" s="1086" t="s">
        <v>2003</v>
      </c>
      <c r="C160" s="1087"/>
      <c r="D160" s="1087"/>
      <c r="E160" s="1087"/>
      <c r="F160" s="1088"/>
      <c r="G160" s="891"/>
      <c r="H160" s="892"/>
      <c r="I160" s="871">
        <f>SUM(I161:I164)</f>
        <v>215945.4</v>
      </c>
      <c r="J160" s="871">
        <f>SUM(J161:J164)</f>
        <v>143963.6</v>
      </c>
      <c r="K160" s="871">
        <f t="shared" si="3"/>
        <v>359909</v>
      </c>
    </row>
    <row r="161" spans="1:11" s="874" customFormat="1" ht="64.5" customHeight="1">
      <c r="A161" s="893" t="s">
        <v>2275</v>
      </c>
      <c r="B161" s="1083" t="s">
        <v>2212</v>
      </c>
      <c r="C161" s="1084"/>
      <c r="D161" s="1084"/>
      <c r="E161" s="1084"/>
      <c r="F161" s="1085"/>
      <c r="G161" s="894">
        <v>8100</v>
      </c>
      <c r="H161" s="895">
        <v>169711</v>
      </c>
      <c r="I161" s="873">
        <f>I1074</f>
        <v>35784</v>
      </c>
      <c r="J161" s="873">
        <f>J1074</f>
        <v>23856</v>
      </c>
      <c r="K161" s="873">
        <f t="shared" si="3"/>
        <v>59640</v>
      </c>
    </row>
    <row r="162" spans="1:11" s="874" customFormat="1" ht="64.5" customHeight="1">
      <c r="A162" s="893" t="s">
        <v>2204</v>
      </c>
      <c r="B162" s="1083" t="s">
        <v>2205</v>
      </c>
      <c r="C162" s="1084"/>
      <c r="D162" s="1084"/>
      <c r="E162" s="1084"/>
      <c r="F162" s="1085"/>
      <c r="G162" s="894">
        <v>8100</v>
      </c>
      <c r="H162" s="895">
        <v>169711</v>
      </c>
      <c r="I162" s="873">
        <f>I1077</f>
        <v>143924.4</v>
      </c>
      <c r="J162" s="873">
        <f>J1077</f>
        <v>95949.6</v>
      </c>
      <c r="K162" s="873">
        <f t="shared" si="3"/>
        <v>239874</v>
      </c>
    </row>
    <row r="163" spans="1:11" s="874" customFormat="1" ht="64.5" customHeight="1">
      <c r="A163" s="893" t="s">
        <v>193</v>
      </c>
      <c r="B163" s="1083" t="s">
        <v>1476</v>
      </c>
      <c r="C163" s="1084"/>
      <c r="D163" s="1084"/>
      <c r="E163" s="1084"/>
      <c r="F163" s="1085"/>
      <c r="G163" s="894">
        <v>8100</v>
      </c>
      <c r="H163" s="896" t="s">
        <v>2445</v>
      </c>
      <c r="I163" s="873">
        <f>I1084</f>
        <v>18000</v>
      </c>
      <c r="J163" s="873">
        <f>J1084</f>
        <v>12000</v>
      </c>
      <c r="K163" s="873">
        <f t="shared" si="3"/>
        <v>30000</v>
      </c>
    </row>
    <row r="164" spans="1:11" s="874" customFormat="1" ht="64.5" customHeight="1">
      <c r="A164" s="893" t="s">
        <v>244</v>
      </c>
      <c r="B164" s="1083" t="s">
        <v>266</v>
      </c>
      <c r="C164" s="1084"/>
      <c r="D164" s="1084"/>
      <c r="E164" s="1084"/>
      <c r="F164" s="1085"/>
      <c r="G164" s="894">
        <v>8100</v>
      </c>
      <c r="H164" s="895">
        <v>169711</v>
      </c>
      <c r="I164" s="873">
        <f>I1086</f>
        <v>18237</v>
      </c>
      <c r="J164" s="873">
        <f>J1086</f>
        <v>12158</v>
      </c>
      <c r="K164" s="873">
        <f t="shared" si="3"/>
        <v>30395</v>
      </c>
    </row>
    <row r="165" spans="1:11" s="872" customFormat="1" ht="64.5" customHeight="1">
      <c r="A165" s="890"/>
      <c r="B165" s="897" t="s">
        <v>2082</v>
      </c>
      <c r="C165" s="898"/>
      <c r="D165" s="898"/>
      <c r="E165" s="898"/>
      <c r="F165" s="899"/>
      <c r="G165" s="891"/>
      <c r="H165" s="892"/>
      <c r="I165" s="871">
        <f>SUM(I166:I169)</f>
        <v>280201.8</v>
      </c>
      <c r="J165" s="871">
        <f>SUM(J166:J169)</f>
        <v>186801.2</v>
      </c>
      <c r="K165" s="871">
        <f t="shared" si="3"/>
        <v>467003</v>
      </c>
    </row>
    <row r="166" spans="1:11" s="874" customFormat="1" ht="64.5" customHeight="1">
      <c r="A166" s="893" t="s">
        <v>2275</v>
      </c>
      <c r="B166" s="1083" t="s">
        <v>2212</v>
      </c>
      <c r="C166" s="1084"/>
      <c r="D166" s="1084"/>
      <c r="E166" s="1084"/>
      <c r="F166" s="1085"/>
      <c r="G166" s="894">
        <v>8100</v>
      </c>
      <c r="H166" s="895">
        <v>169711</v>
      </c>
      <c r="I166" s="873">
        <f>I1104</f>
        <v>103200</v>
      </c>
      <c r="J166" s="873">
        <f>J1104</f>
        <v>68800</v>
      </c>
      <c r="K166" s="873">
        <f t="shared" si="3"/>
        <v>172000</v>
      </c>
    </row>
    <row r="167" spans="1:11" s="874" customFormat="1" ht="64.5" customHeight="1">
      <c r="A167" s="893" t="s">
        <v>2204</v>
      </c>
      <c r="B167" s="1083" t="s">
        <v>2205</v>
      </c>
      <c r="C167" s="1084"/>
      <c r="D167" s="1084"/>
      <c r="E167" s="1084"/>
      <c r="F167" s="1085"/>
      <c r="G167" s="894">
        <v>8100</v>
      </c>
      <c r="H167" s="895">
        <v>169711</v>
      </c>
      <c r="I167" s="873">
        <f>I1108</f>
        <v>153001.79999999999</v>
      </c>
      <c r="J167" s="873">
        <f>J1108</f>
        <v>102001.2</v>
      </c>
      <c r="K167" s="873">
        <f t="shared" si="3"/>
        <v>255003</v>
      </c>
    </row>
    <row r="168" spans="1:11" s="874" customFormat="1" ht="64.5" customHeight="1">
      <c r="A168" s="893" t="s">
        <v>193</v>
      </c>
      <c r="B168" s="1083" t="s">
        <v>1476</v>
      </c>
      <c r="C168" s="1084"/>
      <c r="D168" s="1084"/>
      <c r="E168" s="1084"/>
      <c r="F168" s="1085"/>
      <c r="G168" s="894">
        <v>8100</v>
      </c>
      <c r="H168" s="896" t="s">
        <v>2445</v>
      </c>
      <c r="I168" s="873">
        <f>I1115</f>
        <v>12000</v>
      </c>
      <c r="J168" s="873">
        <f>J1115</f>
        <v>8000</v>
      </c>
      <c r="K168" s="873">
        <f t="shared" si="3"/>
        <v>20000</v>
      </c>
    </row>
    <row r="169" spans="1:11" s="874" customFormat="1" ht="64.5" customHeight="1">
      <c r="A169" s="893" t="s">
        <v>244</v>
      </c>
      <c r="B169" s="1083" t="s">
        <v>266</v>
      </c>
      <c r="C169" s="1084"/>
      <c r="D169" s="1084"/>
      <c r="E169" s="1084"/>
      <c r="F169" s="1085"/>
      <c r="G169" s="894">
        <v>8100</v>
      </c>
      <c r="H169" s="895">
        <v>169711</v>
      </c>
      <c r="I169" s="873">
        <f>I1117</f>
        <v>12000</v>
      </c>
      <c r="J169" s="873">
        <f>J1117</f>
        <v>8000</v>
      </c>
      <c r="K169" s="873">
        <f t="shared" si="3"/>
        <v>20000</v>
      </c>
    </row>
    <row r="170" spans="1:11" s="872" customFormat="1" ht="64.5" customHeight="1">
      <c r="A170" s="890"/>
      <c r="B170" s="1086" t="s">
        <v>1805</v>
      </c>
      <c r="C170" s="1087"/>
      <c r="D170" s="1087"/>
      <c r="E170" s="1087"/>
      <c r="F170" s="1088"/>
      <c r="G170" s="891"/>
      <c r="H170" s="892"/>
      <c r="I170" s="871">
        <f>SUM(I171:I175)</f>
        <v>250761.19999999998</v>
      </c>
      <c r="J170" s="871">
        <f>SUM(J171:J175)</f>
        <v>139238.79999999999</v>
      </c>
      <c r="K170" s="871">
        <f t="shared" si="3"/>
        <v>390000</v>
      </c>
    </row>
    <row r="171" spans="1:11" s="874" customFormat="1" ht="64.5" customHeight="1">
      <c r="A171" s="893" t="s">
        <v>2204</v>
      </c>
      <c r="B171" s="1083" t="s">
        <v>2205</v>
      </c>
      <c r="C171" s="1084"/>
      <c r="D171" s="1084"/>
      <c r="E171" s="1084"/>
      <c r="F171" s="1085"/>
      <c r="G171" s="894">
        <v>8100</v>
      </c>
      <c r="H171" s="895">
        <v>169711</v>
      </c>
      <c r="I171" s="873">
        <f>I648</f>
        <v>21299.4</v>
      </c>
      <c r="J171" s="873">
        <f>J648</f>
        <v>14199.6</v>
      </c>
      <c r="K171" s="873">
        <f t="shared" si="3"/>
        <v>35499</v>
      </c>
    </row>
    <row r="172" spans="1:11" s="874" customFormat="1" ht="64.5" customHeight="1">
      <c r="A172" s="893" t="s">
        <v>193</v>
      </c>
      <c r="B172" s="1083" t="s">
        <v>1476</v>
      </c>
      <c r="C172" s="1084"/>
      <c r="D172" s="1084"/>
      <c r="E172" s="1084"/>
      <c r="F172" s="1085"/>
      <c r="G172" s="894">
        <v>8100</v>
      </c>
      <c r="H172" s="896" t="s">
        <v>2445</v>
      </c>
      <c r="I172" s="873">
        <f>I654</f>
        <v>4800</v>
      </c>
      <c r="J172" s="873">
        <f>J654</f>
        <v>3200</v>
      </c>
      <c r="K172" s="873">
        <f t="shared" si="3"/>
        <v>8000</v>
      </c>
    </row>
    <row r="173" spans="1:11" s="874" customFormat="1" ht="64.5" customHeight="1">
      <c r="A173" s="893" t="s">
        <v>244</v>
      </c>
      <c r="B173" s="1083" t="s">
        <v>266</v>
      </c>
      <c r="C173" s="1084"/>
      <c r="D173" s="1084"/>
      <c r="E173" s="1084"/>
      <c r="F173" s="1085"/>
      <c r="G173" s="894">
        <v>8100</v>
      </c>
      <c r="H173" s="895">
        <v>169711</v>
      </c>
      <c r="I173" s="873">
        <f>I656</f>
        <v>10500</v>
      </c>
      <c r="J173" s="873">
        <f>J656</f>
        <v>7000</v>
      </c>
      <c r="K173" s="873">
        <f t="shared" si="3"/>
        <v>17500</v>
      </c>
    </row>
    <row r="174" spans="1:11" s="874" customFormat="1" ht="64.5" customHeight="1">
      <c r="A174" s="893" t="s">
        <v>417</v>
      </c>
      <c r="B174" s="1083" t="s">
        <v>2207</v>
      </c>
      <c r="C174" s="1084"/>
      <c r="D174" s="1084"/>
      <c r="E174" s="1084"/>
      <c r="F174" s="1085"/>
      <c r="G174" s="894">
        <v>8100</v>
      </c>
      <c r="H174" s="895">
        <v>169716</v>
      </c>
      <c r="I174" s="873">
        <f>I659</f>
        <v>205485.8</v>
      </c>
      <c r="J174" s="873">
        <f>J659</f>
        <v>114839.2</v>
      </c>
      <c r="K174" s="873">
        <f t="shared" si="3"/>
        <v>320325</v>
      </c>
    </row>
    <row r="175" spans="1:11" s="874" customFormat="1" ht="64.5" customHeight="1">
      <c r="A175" s="893" t="s">
        <v>417</v>
      </c>
      <c r="B175" s="1083" t="s">
        <v>2471</v>
      </c>
      <c r="C175" s="1084"/>
      <c r="D175" s="1084"/>
      <c r="E175" s="1084"/>
      <c r="F175" s="1085"/>
      <c r="G175" s="894"/>
      <c r="H175" s="895"/>
      <c r="I175" s="873">
        <f>I673+I674</f>
        <v>8676</v>
      </c>
      <c r="J175" s="873">
        <f>J673+J674</f>
        <v>0</v>
      </c>
      <c r="K175" s="873">
        <f>I175+J175</f>
        <v>8676</v>
      </c>
    </row>
    <row r="176" spans="1:11" s="872" customFormat="1" ht="64.5" customHeight="1">
      <c r="A176" s="890"/>
      <c r="B176" s="1086" t="s">
        <v>1901</v>
      </c>
      <c r="C176" s="1087"/>
      <c r="D176" s="1087"/>
      <c r="E176" s="1087"/>
      <c r="F176" s="1088"/>
      <c r="G176" s="891"/>
      <c r="H176" s="892"/>
      <c r="I176" s="871">
        <f>SUM(I177:I179)</f>
        <v>44001.468000000001</v>
      </c>
      <c r="J176" s="871">
        <f>SUM(J177:J179)</f>
        <v>29334.311999999998</v>
      </c>
      <c r="K176" s="871">
        <f t="shared" si="3"/>
        <v>73335.78</v>
      </c>
    </row>
    <row r="177" spans="1:11" s="874" customFormat="1" ht="64.5" customHeight="1">
      <c r="A177" s="893" t="s">
        <v>2204</v>
      </c>
      <c r="B177" s="1083" t="s">
        <v>2205</v>
      </c>
      <c r="C177" s="1084"/>
      <c r="D177" s="1084"/>
      <c r="E177" s="1084"/>
      <c r="F177" s="1085"/>
      <c r="G177" s="894">
        <v>8100</v>
      </c>
      <c r="H177" s="895">
        <v>169711</v>
      </c>
      <c r="I177" s="873">
        <f>I822</f>
        <v>32527.601999999999</v>
      </c>
      <c r="J177" s="873">
        <f>J822</f>
        <v>21685.067999999999</v>
      </c>
      <c r="K177" s="873">
        <f t="shared" si="3"/>
        <v>54212.67</v>
      </c>
    </row>
    <row r="178" spans="1:11" s="874" customFormat="1" ht="64.5" customHeight="1">
      <c r="A178" s="893" t="s">
        <v>193</v>
      </c>
      <c r="B178" s="1083" t="s">
        <v>1476</v>
      </c>
      <c r="C178" s="1084"/>
      <c r="D178" s="1084"/>
      <c r="E178" s="1084"/>
      <c r="F178" s="1085"/>
      <c r="G178" s="894">
        <v>8100</v>
      </c>
      <c r="H178" s="896" t="s">
        <v>2445</v>
      </c>
      <c r="I178" s="873">
        <f>I832</f>
        <v>2520</v>
      </c>
      <c r="J178" s="873">
        <f>J832</f>
        <v>1680</v>
      </c>
      <c r="K178" s="873">
        <f t="shared" si="3"/>
        <v>4200</v>
      </c>
    </row>
    <row r="179" spans="1:11" s="874" customFormat="1" ht="64.5" customHeight="1">
      <c r="A179" s="893" t="s">
        <v>244</v>
      </c>
      <c r="B179" s="1083" t="s">
        <v>266</v>
      </c>
      <c r="C179" s="1084"/>
      <c r="D179" s="1084"/>
      <c r="E179" s="1084"/>
      <c r="F179" s="1085"/>
      <c r="G179" s="894">
        <v>8100</v>
      </c>
      <c r="H179" s="895">
        <v>169711</v>
      </c>
      <c r="I179" s="873">
        <f>I834</f>
        <v>8953.866</v>
      </c>
      <c r="J179" s="873">
        <f>J834</f>
        <v>5969.2439999999997</v>
      </c>
      <c r="K179" s="873">
        <f t="shared" si="3"/>
        <v>14923.11</v>
      </c>
    </row>
    <row r="180" spans="1:11" s="872" customFormat="1" ht="64.5" customHeight="1">
      <c r="A180" s="890"/>
      <c r="B180" s="1086" t="s">
        <v>1780</v>
      </c>
      <c r="C180" s="1087"/>
      <c r="D180" s="1087"/>
      <c r="E180" s="1087"/>
      <c r="F180" s="1088"/>
      <c r="G180" s="891"/>
      <c r="H180" s="892"/>
      <c r="I180" s="871">
        <f>SUM(I181:I183)</f>
        <v>69870.600000000006</v>
      </c>
      <c r="J180" s="871">
        <f>SUM(J181:J183)</f>
        <v>46580.4</v>
      </c>
      <c r="K180" s="871">
        <f t="shared" si="3"/>
        <v>116451</v>
      </c>
    </row>
    <row r="181" spans="1:11" s="874" customFormat="1" ht="64.5" customHeight="1">
      <c r="A181" s="893" t="s">
        <v>2204</v>
      </c>
      <c r="B181" s="1083" t="s">
        <v>2205</v>
      </c>
      <c r="C181" s="1084"/>
      <c r="D181" s="1084"/>
      <c r="E181" s="1084"/>
      <c r="F181" s="1085"/>
      <c r="G181" s="894">
        <v>8100</v>
      </c>
      <c r="H181" s="895">
        <v>169711</v>
      </c>
      <c r="I181" s="873">
        <f>I696</f>
        <v>59370.600000000006</v>
      </c>
      <c r="J181" s="873">
        <f>J696</f>
        <v>39580.400000000001</v>
      </c>
      <c r="K181" s="873">
        <f t="shared" si="3"/>
        <v>98951</v>
      </c>
    </row>
    <row r="182" spans="1:11" s="874" customFormat="1" ht="64.5" customHeight="1">
      <c r="A182" s="893" t="s">
        <v>193</v>
      </c>
      <c r="B182" s="1083" t="s">
        <v>1476</v>
      </c>
      <c r="C182" s="1084"/>
      <c r="D182" s="1084"/>
      <c r="E182" s="1084"/>
      <c r="F182" s="1085"/>
      <c r="G182" s="894">
        <v>8100</v>
      </c>
      <c r="H182" s="896" t="s">
        <v>2445</v>
      </c>
      <c r="I182" s="873">
        <f>I703</f>
        <v>3000</v>
      </c>
      <c r="J182" s="873">
        <f>J703</f>
        <v>2000</v>
      </c>
      <c r="K182" s="873">
        <f t="shared" si="3"/>
        <v>5000</v>
      </c>
    </row>
    <row r="183" spans="1:11" s="874" customFormat="1" ht="64.5" customHeight="1">
      <c r="A183" s="893" t="s">
        <v>244</v>
      </c>
      <c r="B183" s="1083" t="s">
        <v>266</v>
      </c>
      <c r="C183" s="1084"/>
      <c r="D183" s="1084"/>
      <c r="E183" s="1084"/>
      <c r="F183" s="1085"/>
      <c r="G183" s="894">
        <v>8100</v>
      </c>
      <c r="H183" s="895">
        <v>169711</v>
      </c>
      <c r="I183" s="873">
        <f>I705</f>
        <v>7500</v>
      </c>
      <c r="J183" s="873">
        <f>J705</f>
        <v>5000</v>
      </c>
      <c r="K183" s="873">
        <f t="shared" si="3"/>
        <v>12500</v>
      </c>
    </row>
    <row r="184" spans="1:11" s="872" customFormat="1" ht="64.5" customHeight="1">
      <c r="A184" s="890"/>
      <c r="B184" s="1086" t="s">
        <v>1982</v>
      </c>
      <c r="C184" s="1087"/>
      <c r="D184" s="1087"/>
      <c r="E184" s="1087"/>
      <c r="F184" s="1088"/>
      <c r="G184" s="891"/>
      <c r="H184" s="892"/>
      <c r="I184" s="871">
        <f>SUM(I185:I187)</f>
        <v>42717</v>
      </c>
      <c r="J184" s="871">
        <f>SUM(J185:J187)</f>
        <v>28478</v>
      </c>
      <c r="K184" s="871">
        <f t="shared" ref="K184:K194" si="4">I184+J184</f>
        <v>71195</v>
      </c>
    </row>
    <row r="185" spans="1:11" s="874" customFormat="1" ht="64.5" customHeight="1">
      <c r="A185" s="893" t="s">
        <v>2204</v>
      </c>
      <c r="B185" s="1083" t="s">
        <v>2205</v>
      </c>
      <c r="C185" s="1084"/>
      <c r="D185" s="1084"/>
      <c r="E185" s="1084"/>
      <c r="F185" s="1085"/>
      <c r="G185" s="894">
        <v>8100</v>
      </c>
      <c r="H185" s="895">
        <v>169711</v>
      </c>
      <c r="I185" s="873">
        <f>I852</f>
        <v>38817</v>
      </c>
      <c r="J185" s="873">
        <f>J852</f>
        <v>25878</v>
      </c>
      <c r="K185" s="873">
        <f t="shared" si="4"/>
        <v>64695</v>
      </c>
    </row>
    <row r="186" spans="1:11" s="874" customFormat="1" ht="64.5" customHeight="1">
      <c r="A186" s="893" t="s">
        <v>193</v>
      </c>
      <c r="B186" s="1083" t="s">
        <v>1476</v>
      </c>
      <c r="C186" s="1084"/>
      <c r="D186" s="1084"/>
      <c r="E186" s="1084"/>
      <c r="F186" s="1085"/>
      <c r="G186" s="894">
        <v>8100</v>
      </c>
      <c r="H186" s="896" t="s">
        <v>2445</v>
      </c>
      <c r="I186" s="873">
        <f>I859</f>
        <v>1500</v>
      </c>
      <c r="J186" s="873">
        <f>J859</f>
        <v>1000</v>
      </c>
      <c r="K186" s="873">
        <f t="shared" si="4"/>
        <v>2500</v>
      </c>
    </row>
    <row r="187" spans="1:11" s="874" customFormat="1" ht="64.5" customHeight="1">
      <c r="A187" s="893" t="s">
        <v>244</v>
      </c>
      <c r="B187" s="1083" t="s">
        <v>266</v>
      </c>
      <c r="C187" s="1084"/>
      <c r="D187" s="1084"/>
      <c r="E187" s="1084"/>
      <c r="F187" s="1085"/>
      <c r="G187" s="894">
        <v>8100</v>
      </c>
      <c r="H187" s="895">
        <v>169711</v>
      </c>
      <c r="I187" s="873">
        <f>I861</f>
        <v>2400</v>
      </c>
      <c r="J187" s="873">
        <f>J861</f>
        <v>1600</v>
      </c>
      <c r="K187" s="873">
        <f t="shared" si="4"/>
        <v>4000</v>
      </c>
    </row>
    <row r="188" spans="1:11" s="872" customFormat="1" ht="64.5" customHeight="1">
      <c r="A188" s="890"/>
      <c r="B188" s="1086" t="s">
        <v>2210</v>
      </c>
      <c r="C188" s="1087"/>
      <c r="D188" s="1087"/>
      <c r="E188" s="1087"/>
      <c r="F188" s="1088"/>
      <c r="G188" s="891"/>
      <c r="H188" s="892"/>
      <c r="I188" s="871">
        <f>SUM(I189:I190)</f>
        <v>36599.4</v>
      </c>
      <c r="J188" s="871">
        <f>SUM(J189:J190)</f>
        <v>24399.599999999999</v>
      </c>
      <c r="K188" s="871">
        <f t="shared" si="4"/>
        <v>60999</v>
      </c>
    </row>
    <row r="189" spans="1:11" s="874" customFormat="1" ht="64.5" customHeight="1">
      <c r="A189" s="893" t="s">
        <v>2204</v>
      </c>
      <c r="B189" s="1083" t="s">
        <v>2205</v>
      </c>
      <c r="C189" s="1084"/>
      <c r="D189" s="1084"/>
      <c r="E189" s="1084"/>
      <c r="F189" s="1085"/>
      <c r="G189" s="894">
        <v>8100</v>
      </c>
      <c r="H189" s="895">
        <v>169711</v>
      </c>
      <c r="I189" s="873">
        <f>I869</f>
        <v>34200</v>
      </c>
      <c r="J189" s="873">
        <f>J869</f>
        <v>22800</v>
      </c>
      <c r="K189" s="873">
        <f t="shared" si="4"/>
        <v>57000</v>
      </c>
    </row>
    <row r="190" spans="1:11" s="874" customFormat="1" ht="64.5" customHeight="1">
      <c r="A190" s="893" t="s">
        <v>244</v>
      </c>
      <c r="B190" s="1083" t="s">
        <v>266</v>
      </c>
      <c r="C190" s="1084"/>
      <c r="D190" s="1084"/>
      <c r="E190" s="1084"/>
      <c r="F190" s="1085"/>
      <c r="G190" s="894">
        <v>8100</v>
      </c>
      <c r="H190" s="895">
        <v>169711</v>
      </c>
      <c r="I190" s="873">
        <f>I873</f>
        <v>2399.4</v>
      </c>
      <c r="J190" s="873">
        <f>J873</f>
        <v>1599.6000000000001</v>
      </c>
      <c r="K190" s="873">
        <f t="shared" si="4"/>
        <v>3999</v>
      </c>
    </row>
    <row r="191" spans="1:11" s="872" customFormat="1" ht="64.5" customHeight="1">
      <c r="A191" s="890"/>
      <c r="B191" s="1086" t="s">
        <v>2073</v>
      </c>
      <c r="C191" s="1087"/>
      <c r="D191" s="1087"/>
      <c r="E191" s="1087"/>
      <c r="F191" s="1088"/>
      <c r="G191" s="891"/>
      <c r="H191" s="892"/>
      <c r="I191" s="871">
        <f>SUM(I192:I194)</f>
        <v>139721.4</v>
      </c>
      <c r="J191" s="871">
        <f>SUM(J192:J194)</f>
        <v>93147.6</v>
      </c>
      <c r="K191" s="871">
        <f t="shared" si="4"/>
        <v>232869</v>
      </c>
    </row>
    <row r="192" spans="1:11" s="874" customFormat="1" ht="64.5" customHeight="1">
      <c r="A192" s="893" t="s">
        <v>2204</v>
      </c>
      <c r="B192" s="1083" t="s">
        <v>2205</v>
      </c>
      <c r="C192" s="1084"/>
      <c r="D192" s="1084"/>
      <c r="E192" s="1084"/>
      <c r="F192" s="1085"/>
      <c r="G192" s="894">
        <v>8100</v>
      </c>
      <c r="H192" s="895">
        <v>169711</v>
      </c>
      <c r="I192" s="873">
        <f>I1125</f>
        <v>123715.20000000001</v>
      </c>
      <c r="J192" s="873">
        <f>J1125</f>
        <v>82476.800000000003</v>
      </c>
      <c r="K192" s="873">
        <f t="shared" si="4"/>
        <v>206192</v>
      </c>
    </row>
    <row r="193" spans="1:11" s="874" customFormat="1" ht="64.5" customHeight="1">
      <c r="A193" s="893" t="s">
        <v>193</v>
      </c>
      <c r="B193" s="1083" t="s">
        <v>1476</v>
      </c>
      <c r="C193" s="1084"/>
      <c r="D193" s="1084"/>
      <c r="E193" s="1084"/>
      <c r="F193" s="1085"/>
      <c r="G193" s="894">
        <v>8100</v>
      </c>
      <c r="H193" s="896" t="s">
        <v>2445</v>
      </c>
      <c r="I193" s="873">
        <f>I1134</f>
        <v>6509.4</v>
      </c>
      <c r="J193" s="873">
        <f>J1134</f>
        <v>4339.5999999999995</v>
      </c>
      <c r="K193" s="873">
        <f t="shared" si="4"/>
        <v>10849</v>
      </c>
    </row>
    <row r="194" spans="1:11" s="874" customFormat="1" ht="64.5" customHeight="1">
      <c r="A194" s="893" t="s">
        <v>244</v>
      </c>
      <c r="B194" s="1083" t="s">
        <v>266</v>
      </c>
      <c r="C194" s="1084"/>
      <c r="D194" s="1084"/>
      <c r="E194" s="1084"/>
      <c r="F194" s="1085"/>
      <c r="G194" s="894">
        <v>8100</v>
      </c>
      <c r="H194" s="895">
        <v>169711</v>
      </c>
      <c r="I194" s="873">
        <f>I1136</f>
        <v>9496.7999999999993</v>
      </c>
      <c r="J194" s="873">
        <f>J1136</f>
        <v>6331.2</v>
      </c>
      <c r="K194" s="873">
        <f t="shared" si="4"/>
        <v>15828</v>
      </c>
    </row>
    <row r="195" spans="1:11" s="877" customFormat="1" ht="64.5" customHeight="1">
      <c r="A195" s="909"/>
      <c r="B195" s="910"/>
      <c r="C195" s="910"/>
      <c r="D195" s="910"/>
      <c r="E195" s="910"/>
      <c r="F195" s="910"/>
      <c r="G195" s="911"/>
      <c r="H195" s="912"/>
      <c r="I195" s="913"/>
      <c r="J195" s="913"/>
      <c r="K195" s="914"/>
    </row>
    <row r="196" spans="1:11" s="879" customFormat="1" ht="64.5" customHeight="1">
      <c r="A196" s="915" t="s">
        <v>200</v>
      </c>
      <c r="B196" s="916"/>
      <c r="C196" s="916"/>
      <c r="D196" s="916"/>
      <c r="E196" s="916"/>
      <c r="F196" s="916"/>
      <c r="G196" s="916"/>
      <c r="H196" s="917"/>
      <c r="I196" s="878">
        <f>I188+I156+I32+I151+I16+I165+I191+I147+I142+I38+I160+I184+I28+I12+I111+I36+I108+I176+I116+I137+I170+I24+I180+I49+I114+I88+I74+I93+I55+I100+I105+I79+I97+I59+I83+I43+I119+I20</f>
        <v>9371435.4680000003</v>
      </c>
      <c r="J196" s="878">
        <f>J188+J156+J32+J151+J16+J165+J191+J147+J142+J38+J160+J184+J28+J12+J111+J36+J108+J176+J116+J137+J170+J24+J180+J49+J114+J88+J74+J93+J55+J100+J105+J79+J97+J59+J83+J43+J119+J20</f>
        <v>5989844.311999999</v>
      </c>
      <c r="K196" s="878">
        <f>I196+J196</f>
        <v>15361279.779999999</v>
      </c>
    </row>
    <row r="197" spans="1:11" s="877" customFormat="1" ht="64.5" customHeight="1">
      <c r="A197" s="918"/>
      <c r="B197" s="918"/>
      <c r="C197" s="918"/>
      <c r="D197" s="918"/>
      <c r="E197" s="918"/>
      <c r="F197" s="918"/>
      <c r="G197" s="919"/>
      <c r="H197" s="919"/>
      <c r="I197" s="919"/>
      <c r="J197" s="919"/>
      <c r="K197" s="919"/>
    </row>
    <row r="198" spans="1:11" s="877" customFormat="1" ht="64.5" customHeight="1">
      <c r="A198" s="918"/>
      <c r="B198" s="918"/>
      <c r="C198" s="918"/>
      <c r="D198" s="918"/>
      <c r="E198" s="918"/>
      <c r="F198" s="918"/>
      <c r="G198" s="919"/>
      <c r="H198" s="919"/>
      <c r="I198" s="919"/>
      <c r="J198" s="919"/>
      <c r="K198" s="919"/>
    </row>
    <row r="199" spans="1:11" ht="45">
      <c r="A199" s="979" t="s">
        <v>51</v>
      </c>
      <c r="B199" s="979"/>
      <c r="C199" s="979"/>
      <c r="D199" s="979"/>
      <c r="E199" s="979"/>
      <c r="F199" s="979"/>
      <c r="G199" s="979"/>
      <c r="H199" s="979"/>
      <c r="I199" s="979"/>
      <c r="J199" s="979"/>
      <c r="K199" s="979"/>
    </row>
    <row r="200" spans="1:11" ht="45">
      <c r="A200" s="979" t="s">
        <v>52</v>
      </c>
      <c r="B200" s="979"/>
      <c r="C200" s="979"/>
      <c r="D200" s="979"/>
      <c r="E200" s="979"/>
      <c r="F200" s="979"/>
      <c r="G200" s="979"/>
      <c r="H200" s="979"/>
      <c r="I200" s="979"/>
      <c r="J200" s="979"/>
      <c r="K200" s="979"/>
    </row>
    <row r="201" spans="1:11" ht="45">
      <c r="A201" s="1040" t="s">
        <v>50</v>
      </c>
      <c r="B201" s="1040"/>
      <c r="C201" s="1040"/>
      <c r="D201" s="1040"/>
      <c r="E201" s="1040"/>
      <c r="F201" s="1040"/>
      <c r="G201" s="1040"/>
      <c r="H201" s="1040"/>
      <c r="I201" s="1040"/>
      <c r="J201" s="1040"/>
      <c r="K201" s="1040"/>
    </row>
    <row r="202" spans="1:11" ht="44.25">
      <c r="A202" s="736"/>
      <c r="B202" s="736"/>
      <c r="C202" s="736"/>
      <c r="D202" s="736"/>
      <c r="E202" s="736"/>
      <c r="F202" s="736"/>
      <c r="G202" s="838"/>
      <c r="H202" s="838"/>
      <c r="I202" s="838"/>
      <c r="J202" s="838"/>
      <c r="K202" s="838"/>
    </row>
    <row r="203" spans="1:11" ht="45">
      <c r="A203" s="979" t="s">
        <v>1489</v>
      </c>
      <c r="B203" s="979"/>
      <c r="C203" s="979"/>
      <c r="D203" s="979"/>
      <c r="E203" s="979"/>
      <c r="F203" s="979"/>
      <c r="G203" s="979"/>
      <c r="H203" s="979"/>
      <c r="I203" s="979"/>
      <c r="J203" s="979"/>
      <c r="K203" s="979"/>
    </row>
    <row r="204" spans="1:11" s="620" customFormat="1" ht="33">
      <c r="A204" s="65"/>
      <c r="B204" s="65"/>
      <c r="C204" s="65"/>
      <c r="D204" s="65"/>
      <c r="E204" s="65"/>
      <c r="F204" s="65"/>
      <c r="G204" s="68"/>
      <c r="H204" s="68"/>
      <c r="I204" s="68"/>
      <c r="J204" s="68"/>
      <c r="K204" s="68"/>
    </row>
    <row r="205" spans="1:11" ht="20.100000000000001" customHeight="1">
      <c r="A205" s="65"/>
      <c r="B205" s="65"/>
      <c r="C205" s="65"/>
      <c r="D205" s="65"/>
      <c r="E205" s="65"/>
      <c r="F205" s="65"/>
      <c r="G205" s="68"/>
      <c r="H205" s="68"/>
      <c r="I205" s="68"/>
      <c r="J205" s="68"/>
      <c r="K205" s="68"/>
    </row>
    <row r="206" spans="1:11" ht="20.100000000000001" customHeight="1">
      <c r="A206" s="979"/>
      <c r="B206" s="979"/>
      <c r="C206" s="979"/>
      <c r="D206" s="979"/>
      <c r="E206" s="979"/>
      <c r="F206" s="979"/>
      <c r="G206" s="979"/>
      <c r="H206" s="979"/>
      <c r="I206" s="979"/>
      <c r="J206" s="979"/>
      <c r="K206" s="979"/>
    </row>
    <row r="207" spans="1:11" ht="45.75" customHeight="1">
      <c r="A207" s="1029" t="s">
        <v>1380</v>
      </c>
      <c r="B207" s="1030"/>
      <c r="C207" s="1030"/>
      <c r="D207" s="1030"/>
      <c r="E207" s="1030"/>
      <c r="F207" s="1030"/>
      <c r="G207" s="1030"/>
      <c r="H207" s="1030"/>
      <c r="I207" s="1030"/>
      <c r="J207" s="1030"/>
      <c r="K207" s="1030"/>
    </row>
    <row r="208" spans="1:11" s="902" customFormat="1" ht="126.75" customHeight="1">
      <c r="A208" s="1111" t="s">
        <v>37</v>
      </c>
      <c r="B208" s="1112"/>
      <c r="C208" s="983" t="s">
        <v>178</v>
      </c>
      <c r="D208" s="983" t="s">
        <v>179</v>
      </c>
      <c r="E208" s="983" t="s">
        <v>1521</v>
      </c>
      <c r="F208" s="983" t="s">
        <v>14</v>
      </c>
      <c r="G208" s="983" t="s">
        <v>1515</v>
      </c>
      <c r="H208" s="983" t="s">
        <v>16</v>
      </c>
      <c r="I208" s="1108" t="s">
        <v>1490</v>
      </c>
      <c r="J208" s="1108" t="s">
        <v>2506</v>
      </c>
      <c r="K208" s="983" t="s">
        <v>200</v>
      </c>
    </row>
    <row r="209" spans="1:11" s="900" customFormat="1" ht="126.75" customHeight="1">
      <c r="A209" s="1113"/>
      <c r="B209" s="1114"/>
      <c r="C209" s="984"/>
      <c r="D209" s="984"/>
      <c r="E209" s="984"/>
      <c r="F209" s="984"/>
      <c r="G209" s="984"/>
      <c r="H209" s="984"/>
      <c r="I209" s="1108"/>
      <c r="J209" s="1108"/>
      <c r="K209" s="984"/>
    </row>
    <row r="210" spans="1:11" s="900" customFormat="1" ht="126.75" customHeight="1">
      <c r="A210" s="1109" t="s">
        <v>1704</v>
      </c>
      <c r="B210" s="1110"/>
      <c r="C210" s="921"/>
      <c r="D210" s="921"/>
      <c r="E210" s="922"/>
      <c r="F210" s="923"/>
      <c r="G210" s="924"/>
      <c r="H210" s="924"/>
      <c r="I210" s="920">
        <f>I211+I213+I220</f>
        <v>777544.2</v>
      </c>
      <c r="J210" s="920">
        <f>J211+J213+J220</f>
        <v>439528.8</v>
      </c>
      <c r="K210" s="920">
        <f>I210+J210</f>
        <v>1217073</v>
      </c>
    </row>
    <row r="211" spans="1:11" s="902" customFormat="1" ht="126.75" customHeight="1">
      <c r="A211" s="1070" t="s">
        <v>1541</v>
      </c>
      <c r="B211" s="1071"/>
      <c r="C211" s="925"/>
      <c r="D211" s="925"/>
      <c r="E211" s="925"/>
      <c r="F211" s="931"/>
      <c r="G211" s="925"/>
      <c r="H211" s="926"/>
      <c r="I211" s="871">
        <f>SUM(I212:I212)</f>
        <v>36306.6</v>
      </c>
      <c r="J211" s="871">
        <f>SUM(J212:J212)</f>
        <v>24204.400000000001</v>
      </c>
      <c r="K211" s="871">
        <f>I211+J211</f>
        <v>60511</v>
      </c>
    </row>
    <row r="212" spans="1:11" s="901" customFormat="1" ht="126.75" customHeight="1">
      <c r="A212" s="1068" t="s">
        <v>1705</v>
      </c>
      <c r="B212" s="1069"/>
      <c r="C212" s="928" t="s">
        <v>1544</v>
      </c>
      <c r="D212" s="928"/>
      <c r="E212" s="928" t="s">
        <v>1544</v>
      </c>
      <c r="F212" s="840" t="s">
        <v>2220</v>
      </c>
      <c r="G212" s="956">
        <v>8100</v>
      </c>
      <c r="H212" s="930" t="s">
        <v>2273</v>
      </c>
      <c r="I212" s="873">
        <f>K212/100*60</f>
        <v>36306.6</v>
      </c>
      <c r="J212" s="873">
        <f>K212/100*40</f>
        <v>24204.400000000001</v>
      </c>
      <c r="K212" s="873">
        <v>60511</v>
      </c>
    </row>
    <row r="213" spans="1:11" s="902" customFormat="1" ht="126.75" customHeight="1">
      <c r="A213" s="1070" t="s">
        <v>1706</v>
      </c>
      <c r="B213" s="1071"/>
      <c r="C213" s="925"/>
      <c r="D213" s="925"/>
      <c r="E213" s="925"/>
      <c r="F213" s="931"/>
      <c r="G213" s="925"/>
      <c r="H213" s="926"/>
      <c r="I213" s="871">
        <f>SUM(I214:I219)</f>
        <v>719843.4</v>
      </c>
      <c r="J213" s="871">
        <f>SUM(J214:J219)</f>
        <v>401061.6</v>
      </c>
      <c r="K213" s="871">
        <f>I213+J213</f>
        <v>1120905</v>
      </c>
    </row>
    <row r="214" spans="1:11" s="901" customFormat="1" ht="126.75" customHeight="1">
      <c r="A214" s="1068" t="s">
        <v>1759</v>
      </c>
      <c r="B214" s="1069"/>
      <c r="C214" s="928" t="s">
        <v>1544</v>
      </c>
      <c r="D214" s="928"/>
      <c r="E214" s="928" t="s">
        <v>1544</v>
      </c>
      <c r="F214" s="842" t="s">
        <v>2221</v>
      </c>
      <c r="G214" s="1072">
        <v>8100</v>
      </c>
      <c r="H214" s="1075" t="s">
        <v>2450</v>
      </c>
      <c r="I214" s="873">
        <f>557946-27967</f>
        <v>529979</v>
      </c>
      <c r="J214" s="873">
        <f>371964-6068</f>
        <v>365896</v>
      </c>
      <c r="K214" s="873">
        <v>929910</v>
      </c>
    </row>
    <row r="215" spans="1:11" s="901" customFormat="1" ht="126.75" customHeight="1">
      <c r="A215" s="1118" t="s">
        <v>1760</v>
      </c>
      <c r="B215" s="1119"/>
      <c r="C215" s="935" t="s">
        <v>1544</v>
      </c>
      <c r="D215" s="935"/>
      <c r="E215" s="935" t="s">
        <v>1544</v>
      </c>
      <c r="F215" s="842" t="s">
        <v>2222</v>
      </c>
      <c r="G215" s="1073"/>
      <c r="H215" s="1076"/>
      <c r="I215" s="873">
        <v>109371</v>
      </c>
      <c r="J215" s="873"/>
      <c r="K215" s="873">
        <f>I215+J215</f>
        <v>109371</v>
      </c>
    </row>
    <row r="216" spans="1:11" s="901" customFormat="1" ht="126.75" customHeight="1">
      <c r="A216" s="1068" t="s">
        <v>1707</v>
      </c>
      <c r="B216" s="1069"/>
      <c r="C216" s="928" t="s">
        <v>1544</v>
      </c>
      <c r="D216" s="928"/>
      <c r="E216" s="928" t="s">
        <v>1544</v>
      </c>
      <c r="F216" s="842" t="s">
        <v>2223</v>
      </c>
      <c r="G216" s="1074"/>
      <c r="H216" s="1077"/>
      <c r="I216" s="873">
        <f>K216/100*60</f>
        <v>52748.4</v>
      </c>
      <c r="J216" s="873">
        <f>K216/100*40</f>
        <v>35165.599999999999</v>
      </c>
      <c r="K216" s="873">
        <v>87914</v>
      </c>
    </row>
    <row r="217" spans="1:11" s="901" customFormat="1" ht="59.25" customHeight="1">
      <c r="A217" s="936"/>
      <c r="B217" s="937"/>
      <c r="C217" s="928"/>
      <c r="D217" s="928"/>
      <c r="E217" s="928"/>
      <c r="F217" s="842"/>
      <c r="G217" s="938"/>
      <c r="H217" s="939"/>
      <c r="I217" s="873"/>
      <c r="J217" s="873"/>
      <c r="K217" s="873"/>
    </row>
    <row r="218" spans="1:11" s="901" customFormat="1" ht="126.75" customHeight="1">
      <c r="A218" s="1120" t="s">
        <v>2518</v>
      </c>
      <c r="B218" s="1121"/>
      <c r="C218" s="940" t="s">
        <v>1544</v>
      </c>
      <c r="D218" s="940"/>
      <c r="E218" s="940" t="s">
        <v>1544</v>
      </c>
      <c r="F218" s="810"/>
      <c r="G218" s="941"/>
      <c r="H218" s="942"/>
      <c r="I218" s="966">
        <v>23361</v>
      </c>
      <c r="J218" s="966"/>
      <c r="K218" s="966">
        <f>I218+J218</f>
        <v>23361</v>
      </c>
    </row>
    <row r="219" spans="1:11" s="901" customFormat="1" ht="126.75" customHeight="1">
      <c r="A219" s="1122" t="s">
        <v>2519</v>
      </c>
      <c r="B219" s="1123"/>
      <c r="C219" s="943" t="s">
        <v>1544</v>
      </c>
      <c r="D219" s="943"/>
      <c r="E219" s="943" t="s">
        <v>1544</v>
      </c>
      <c r="F219" s="810"/>
      <c r="G219" s="941"/>
      <c r="H219" s="942"/>
      <c r="I219" s="966">
        <v>4384</v>
      </c>
      <c r="J219" s="966"/>
      <c r="K219" s="966">
        <f>I219+J219</f>
        <v>4384</v>
      </c>
    </row>
    <row r="220" spans="1:11" s="902" customFormat="1" ht="126.75" customHeight="1">
      <c r="A220" s="1070" t="s">
        <v>312</v>
      </c>
      <c r="B220" s="1071"/>
      <c r="C220" s="925"/>
      <c r="D220" s="925"/>
      <c r="E220" s="925"/>
      <c r="F220" s="931"/>
      <c r="G220" s="925"/>
      <c r="H220" s="926"/>
      <c r="I220" s="871">
        <f>I221</f>
        <v>21394.2</v>
      </c>
      <c r="J220" s="871">
        <f>J221</f>
        <v>14262.8</v>
      </c>
      <c r="K220" s="871">
        <f>I220+J220</f>
        <v>35657</v>
      </c>
    </row>
    <row r="221" spans="1:11" s="901" customFormat="1" ht="126.75" customHeight="1">
      <c r="A221" s="1068" t="s">
        <v>1708</v>
      </c>
      <c r="B221" s="1069"/>
      <c r="C221" s="928" t="s">
        <v>1544</v>
      </c>
      <c r="D221" s="928"/>
      <c r="E221" s="928" t="s">
        <v>1544</v>
      </c>
      <c r="F221" s="842" t="s">
        <v>2224</v>
      </c>
      <c r="G221" s="929">
        <v>8100</v>
      </c>
      <c r="H221" s="932" t="s">
        <v>2273</v>
      </c>
      <c r="I221" s="873">
        <f>K221/100*60</f>
        <v>21394.2</v>
      </c>
      <c r="J221" s="873">
        <f>K221/100*40</f>
        <v>14262.8</v>
      </c>
      <c r="K221" s="873">
        <v>35657</v>
      </c>
    </row>
    <row r="222" spans="1:11" s="901" customFormat="1" ht="59.25" customHeight="1">
      <c r="A222" s="1131" t="s">
        <v>2455</v>
      </c>
      <c r="B222" s="1131"/>
      <c r="C222" s="1131"/>
      <c r="D222" s="1131"/>
      <c r="E222" s="1131"/>
      <c r="F222" s="1131"/>
      <c r="G222" s="1131"/>
      <c r="H222" s="1131"/>
      <c r="I222" s="968"/>
      <c r="J222" s="968"/>
      <c r="K222" s="968"/>
    </row>
    <row r="223" spans="1:11" s="969" customFormat="1" ht="51.75" customHeight="1">
      <c r="A223" s="1131" t="s">
        <v>2456</v>
      </c>
      <c r="B223" s="1131"/>
      <c r="C223" s="1131"/>
      <c r="D223" s="1131"/>
      <c r="E223" s="1131"/>
      <c r="F223" s="1131"/>
      <c r="G223" s="1131"/>
      <c r="H223" s="1131"/>
      <c r="I223" s="903"/>
      <c r="J223" s="903"/>
      <c r="K223" s="903"/>
    </row>
    <row r="224" spans="1:11" s="510" customFormat="1" ht="27" customHeight="1">
      <c r="A224" s="753"/>
      <c r="B224" s="753"/>
      <c r="C224" s="754"/>
      <c r="D224" s="754"/>
      <c r="E224" s="754"/>
      <c r="F224" s="861"/>
      <c r="G224" s="758"/>
      <c r="H224" s="756"/>
      <c r="I224" s="757"/>
      <c r="J224" s="757"/>
      <c r="K224" s="757"/>
    </row>
    <row r="225" spans="1:11" ht="45">
      <c r="A225" s="979" t="s">
        <v>51</v>
      </c>
      <c r="B225" s="979"/>
      <c r="C225" s="979"/>
      <c r="D225" s="979"/>
      <c r="E225" s="979"/>
      <c r="F225" s="979"/>
      <c r="G225" s="979"/>
      <c r="H225" s="979"/>
      <c r="I225" s="979"/>
      <c r="J225" s="979"/>
      <c r="K225" s="979"/>
    </row>
    <row r="226" spans="1:11" ht="45">
      <c r="A226" s="979" t="s">
        <v>52</v>
      </c>
      <c r="B226" s="979"/>
      <c r="C226" s="979"/>
      <c r="D226" s="979"/>
      <c r="E226" s="979"/>
      <c r="F226" s="979"/>
      <c r="G226" s="979"/>
      <c r="H226" s="979"/>
      <c r="I226" s="979"/>
      <c r="J226" s="979"/>
      <c r="K226" s="979"/>
    </row>
    <row r="227" spans="1:11" ht="45">
      <c r="A227" s="1040" t="s">
        <v>50</v>
      </c>
      <c r="B227" s="1040"/>
      <c r="C227" s="1040"/>
      <c r="D227" s="1040"/>
      <c r="E227" s="1040"/>
      <c r="F227" s="1040"/>
      <c r="G227" s="1040"/>
      <c r="H227" s="1040"/>
      <c r="I227" s="1040"/>
      <c r="J227" s="1040"/>
      <c r="K227" s="1040"/>
    </row>
    <row r="228" spans="1:11" ht="44.25">
      <c r="A228" s="736"/>
      <c r="B228" s="736"/>
      <c r="C228" s="736"/>
      <c r="D228" s="736"/>
      <c r="E228" s="736"/>
      <c r="F228" s="736"/>
      <c r="G228" s="838"/>
      <c r="H228" s="838"/>
      <c r="I228" s="838"/>
      <c r="J228" s="838"/>
      <c r="K228" s="838"/>
    </row>
    <row r="229" spans="1:11" ht="45">
      <c r="A229" s="979" t="s">
        <v>1489</v>
      </c>
      <c r="B229" s="979"/>
      <c r="C229" s="979"/>
      <c r="D229" s="979"/>
      <c r="E229" s="979"/>
      <c r="F229" s="979"/>
      <c r="G229" s="979"/>
      <c r="H229" s="979"/>
      <c r="I229" s="979"/>
      <c r="J229" s="979"/>
      <c r="K229" s="979"/>
    </row>
    <row r="230" spans="1:11" s="620" customFormat="1" ht="33">
      <c r="A230" s="65"/>
      <c r="B230" s="65"/>
      <c r="C230" s="65"/>
      <c r="D230" s="65"/>
      <c r="E230" s="65"/>
      <c r="F230" s="65"/>
      <c r="G230" s="68"/>
      <c r="H230" s="68"/>
      <c r="I230" s="68"/>
      <c r="J230" s="68"/>
      <c r="K230" s="68"/>
    </row>
    <row r="231" spans="1:11" ht="20.100000000000001" customHeight="1">
      <c r="A231" s="65"/>
      <c r="B231" s="65"/>
      <c r="C231" s="65"/>
      <c r="D231" s="65"/>
      <c r="E231" s="65"/>
      <c r="F231" s="65"/>
      <c r="G231" s="68"/>
      <c r="H231" s="68"/>
      <c r="I231" s="68"/>
      <c r="J231" s="68"/>
      <c r="K231" s="68"/>
    </row>
    <row r="232" spans="1:11" ht="20.100000000000001" customHeight="1">
      <c r="A232" s="979"/>
      <c r="B232" s="979"/>
      <c r="C232" s="979"/>
      <c r="D232" s="979"/>
      <c r="E232" s="979"/>
      <c r="F232" s="979"/>
      <c r="G232" s="979"/>
      <c r="H232" s="979"/>
      <c r="I232" s="979"/>
      <c r="J232" s="979"/>
      <c r="K232" s="979"/>
    </row>
    <row r="233" spans="1:11" ht="45.75" customHeight="1">
      <c r="A233" s="1029" t="s">
        <v>1380</v>
      </c>
      <c r="B233" s="1030"/>
      <c r="C233" s="1030"/>
      <c r="D233" s="1030"/>
      <c r="E233" s="1030"/>
      <c r="F233" s="1030"/>
      <c r="G233" s="1030"/>
      <c r="H233" s="1030"/>
      <c r="I233" s="1030"/>
      <c r="J233" s="1030"/>
      <c r="K233" s="1030"/>
    </row>
    <row r="234" spans="1:11" s="902" customFormat="1" ht="165.75" customHeight="1">
      <c r="A234" s="1111" t="s">
        <v>37</v>
      </c>
      <c r="B234" s="1112"/>
      <c r="C234" s="983" t="s">
        <v>178</v>
      </c>
      <c r="D234" s="983" t="s">
        <v>179</v>
      </c>
      <c r="E234" s="983" t="s">
        <v>1521</v>
      </c>
      <c r="F234" s="983" t="s">
        <v>14</v>
      </c>
      <c r="G234" s="983" t="s">
        <v>1515</v>
      </c>
      <c r="H234" s="983" t="s">
        <v>16</v>
      </c>
      <c r="I234" s="1108" t="s">
        <v>1490</v>
      </c>
      <c r="J234" s="1108" t="s">
        <v>2506</v>
      </c>
      <c r="K234" s="983" t="s">
        <v>200</v>
      </c>
    </row>
    <row r="235" spans="1:11" s="900" customFormat="1" ht="165.75" customHeight="1">
      <c r="A235" s="1113"/>
      <c r="B235" s="1114"/>
      <c r="C235" s="984"/>
      <c r="D235" s="984"/>
      <c r="E235" s="984"/>
      <c r="F235" s="984"/>
      <c r="G235" s="984"/>
      <c r="H235" s="984"/>
      <c r="I235" s="1108"/>
      <c r="J235" s="1108"/>
      <c r="K235" s="984"/>
    </row>
    <row r="236" spans="1:11" s="900" customFormat="1" ht="165.75" customHeight="1">
      <c r="A236" s="1109" t="s">
        <v>1709</v>
      </c>
      <c r="B236" s="1110"/>
      <c r="C236" s="921"/>
      <c r="D236" s="921"/>
      <c r="E236" s="922"/>
      <c r="F236" s="923"/>
      <c r="G236" s="924"/>
      <c r="H236" s="924"/>
      <c r="I236" s="920">
        <f>I237+I254+I257</f>
        <v>805472</v>
      </c>
      <c r="J236" s="920">
        <f>J237+J254+J257</f>
        <v>438818</v>
      </c>
      <c r="K236" s="920">
        <f>I236+J236</f>
        <v>1244290</v>
      </c>
    </row>
    <row r="237" spans="1:11" s="902" customFormat="1" ht="165.75" customHeight="1">
      <c r="A237" s="1070" t="s">
        <v>332</v>
      </c>
      <c r="B237" s="1071"/>
      <c r="C237" s="925"/>
      <c r="D237" s="925"/>
      <c r="E237" s="925"/>
      <c r="F237" s="931"/>
      <c r="G237" s="925"/>
      <c r="H237" s="926"/>
      <c r="I237" s="871">
        <f>SUM(I238:I253)</f>
        <v>644329</v>
      </c>
      <c r="J237" s="871">
        <f>SUM(J238:J253)</f>
        <v>332188</v>
      </c>
      <c r="K237" s="871">
        <f>I237+J237</f>
        <v>976517</v>
      </c>
    </row>
    <row r="238" spans="1:11" s="901" customFormat="1" ht="165.75" customHeight="1">
      <c r="A238" s="1118" t="s">
        <v>1753</v>
      </c>
      <c r="B238" s="1119"/>
      <c r="C238" s="935" t="s">
        <v>1727</v>
      </c>
      <c r="D238" s="935">
        <v>18</v>
      </c>
      <c r="E238" s="935" t="s">
        <v>1728</v>
      </c>
      <c r="F238" s="842" t="s">
        <v>2237</v>
      </c>
      <c r="G238" s="1072">
        <v>8100</v>
      </c>
      <c r="H238" s="1072">
        <v>169708</v>
      </c>
      <c r="I238" s="873">
        <f>120694+8056</f>
        <v>128750</v>
      </c>
      <c r="J238" s="873"/>
      <c r="K238" s="873">
        <f>I238+J238</f>
        <v>128750</v>
      </c>
    </row>
    <row r="239" spans="1:11" s="901" customFormat="1" ht="165.75" customHeight="1">
      <c r="A239" s="1068" t="s">
        <v>1741</v>
      </c>
      <c r="B239" s="1069"/>
      <c r="C239" s="928" t="s">
        <v>1742</v>
      </c>
      <c r="D239" s="928">
        <v>4</v>
      </c>
      <c r="E239" s="928" t="s">
        <v>1729</v>
      </c>
      <c r="F239" s="1104" t="s">
        <v>2226</v>
      </c>
      <c r="G239" s="1073"/>
      <c r="H239" s="1073"/>
      <c r="I239" s="873">
        <f t="shared" ref="I239:I249" si="5">K239/100*60</f>
        <v>6900</v>
      </c>
      <c r="J239" s="873">
        <f t="shared" ref="J239:J249" si="6">K239/100*40</f>
        <v>4600</v>
      </c>
      <c r="K239" s="873">
        <v>11500</v>
      </c>
    </row>
    <row r="240" spans="1:11" s="901" customFormat="1" ht="165.75" customHeight="1">
      <c r="A240" s="1068" t="s">
        <v>1743</v>
      </c>
      <c r="B240" s="1069"/>
      <c r="C240" s="928" t="s">
        <v>1730</v>
      </c>
      <c r="D240" s="928">
        <v>5</v>
      </c>
      <c r="E240" s="928" t="s">
        <v>1731</v>
      </c>
      <c r="F240" s="1104"/>
      <c r="G240" s="1073"/>
      <c r="H240" s="1073"/>
      <c r="I240" s="873">
        <f t="shared" si="5"/>
        <v>10500</v>
      </c>
      <c r="J240" s="873">
        <f t="shared" si="6"/>
        <v>7000</v>
      </c>
      <c r="K240" s="873">
        <v>17500</v>
      </c>
    </row>
    <row r="241" spans="1:11" s="901" customFormat="1" ht="165.75" customHeight="1">
      <c r="A241" s="1068" t="s">
        <v>1744</v>
      </c>
      <c r="B241" s="1069"/>
      <c r="C241" s="928" t="s">
        <v>1732</v>
      </c>
      <c r="D241" s="928">
        <v>20</v>
      </c>
      <c r="E241" s="928" t="s">
        <v>1733</v>
      </c>
      <c r="F241" s="1104"/>
      <c r="G241" s="1073"/>
      <c r="H241" s="1073"/>
      <c r="I241" s="873">
        <f t="shared" si="5"/>
        <v>17400</v>
      </c>
      <c r="J241" s="873">
        <f t="shared" si="6"/>
        <v>11600</v>
      </c>
      <c r="K241" s="873">
        <v>29000</v>
      </c>
    </row>
    <row r="242" spans="1:11" s="901" customFormat="1" ht="165.75" customHeight="1">
      <c r="A242" s="1068" t="s">
        <v>1745</v>
      </c>
      <c r="B242" s="1069"/>
      <c r="C242" s="928" t="s">
        <v>1718</v>
      </c>
      <c r="D242" s="928">
        <v>3</v>
      </c>
      <c r="E242" s="928" t="s">
        <v>1731</v>
      </c>
      <c r="F242" s="1104"/>
      <c r="G242" s="1073"/>
      <c r="H242" s="1073"/>
      <c r="I242" s="873">
        <f t="shared" si="5"/>
        <v>7200</v>
      </c>
      <c r="J242" s="873">
        <f t="shared" si="6"/>
        <v>4800</v>
      </c>
      <c r="K242" s="873">
        <v>12000</v>
      </c>
    </row>
    <row r="243" spans="1:11" s="901" customFormat="1" ht="165.75" customHeight="1">
      <c r="A243" s="1068" t="s">
        <v>1746</v>
      </c>
      <c r="B243" s="1069"/>
      <c r="C243" s="928" t="s">
        <v>1716</v>
      </c>
      <c r="D243" s="928">
        <v>15</v>
      </c>
      <c r="E243" s="928" t="s">
        <v>1717</v>
      </c>
      <c r="F243" s="1104"/>
      <c r="G243" s="1073"/>
      <c r="H243" s="1073"/>
      <c r="I243" s="873">
        <f t="shared" si="5"/>
        <v>80400</v>
      </c>
      <c r="J243" s="873">
        <f t="shared" si="6"/>
        <v>53600</v>
      </c>
      <c r="K243" s="873">
        <v>134000</v>
      </c>
    </row>
    <row r="244" spans="1:11" s="901" customFormat="1" ht="165.75" customHeight="1">
      <c r="A244" s="1068" t="s">
        <v>1747</v>
      </c>
      <c r="B244" s="1069"/>
      <c r="C244" s="928" t="s">
        <v>1734</v>
      </c>
      <c r="D244" s="928">
        <v>90</v>
      </c>
      <c r="E244" s="928" t="s">
        <v>1731</v>
      </c>
      <c r="F244" s="842" t="s">
        <v>2238</v>
      </c>
      <c r="G244" s="1073"/>
      <c r="H244" s="1073"/>
      <c r="I244" s="873">
        <f t="shared" si="5"/>
        <v>48000</v>
      </c>
      <c r="J244" s="873">
        <f t="shared" si="6"/>
        <v>32000</v>
      </c>
      <c r="K244" s="873">
        <v>80000</v>
      </c>
    </row>
    <row r="245" spans="1:11" s="901" customFormat="1" ht="165.75" customHeight="1">
      <c r="A245" s="1068" t="s">
        <v>1748</v>
      </c>
      <c r="B245" s="1069"/>
      <c r="C245" s="928" t="s">
        <v>1735</v>
      </c>
      <c r="D245" s="928">
        <v>32</v>
      </c>
      <c r="E245" s="928" t="s">
        <v>1728</v>
      </c>
      <c r="F245" s="1104" t="s">
        <v>2239</v>
      </c>
      <c r="G245" s="1073"/>
      <c r="H245" s="1073"/>
      <c r="I245" s="873">
        <f t="shared" si="5"/>
        <v>51600</v>
      </c>
      <c r="J245" s="873">
        <f t="shared" si="6"/>
        <v>34400</v>
      </c>
      <c r="K245" s="873">
        <v>86000</v>
      </c>
    </row>
    <row r="246" spans="1:11" s="901" customFormat="1" ht="165.75" customHeight="1">
      <c r="A246" s="1068" t="s">
        <v>1749</v>
      </c>
      <c r="B246" s="1069"/>
      <c r="C246" s="928" t="s">
        <v>1736</v>
      </c>
      <c r="D246" s="928">
        <v>68</v>
      </c>
      <c r="E246" s="928" t="s">
        <v>1728</v>
      </c>
      <c r="F246" s="1104"/>
      <c r="G246" s="1073"/>
      <c r="H246" s="1073"/>
      <c r="I246" s="873">
        <f t="shared" si="5"/>
        <v>37200</v>
      </c>
      <c r="J246" s="873">
        <f t="shared" si="6"/>
        <v>24800</v>
      </c>
      <c r="K246" s="873">
        <v>62000</v>
      </c>
    </row>
    <row r="247" spans="1:11" s="901" customFormat="1" ht="165.75" customHeight="1">
      <c r="A247" s="1068" t="s">
        <v>1750</v>
      </c>
      <c r="B247" s="1069"/>
      <c r="C247" s="928" t="s">
        <v>1737</v>
      </c>
      <c r="D247" s="928">
        <v>70</v>
      </c>
      <c r="E247" s="928" t="s">
        <v>1728</v>
      </c>
      <c r="F247" s="1104"/>
      <c r="G247" s="1073"/>
      <c r="H247" s="1073"/>
      <c r="I247" s="873">
        <f>227121-34414</f>
        <v>192707</v>
      </c>
      <c r="J247" s="873">
        <f>151414-5026</f>
        <v>146388</v>
      </c>
      <c r="K247" s="873">
        <f>I247+J247</f>
        <v>339095</v>
      </c>
    </row>
    <row r="248" spans="1:11" s="901" customFormat="1" ht="165.75" customHeight="1">
      <c r="A248" s="1068" t="s">
        <v>1751</v>
      </c>
      <c r="B248" s="1069"/>
      <c r="C248" s="928" t="s">
        <v>1738</v>
      </c>
      <c r="D248" s="928">
        <v>20</v>
      </c>
      <c r="E248" s="928" t="s">
        <v>1728</v>
      </c>
      <c r="F248" s="1104" t="s">
        <v>2240</v>
      </c>
      <c r="G248" s="1073"/>
      <c r="H248" s="1073"/>
      <c r="I248" s="873">
        <f t="shared" si="5"/>
        <v>13800</v>
      </c>
      <c r="J248" s="873">
        <f t="shared" si="6"/>
        <v>9200</v>
      </c>
      <c r="K248" s="873">
        <v>23000</v>
      </c>
    </row>
    <row r="249" spans="1:11" s="901" customFormat="1" ht="165.75" customHeight="1">
      <c r="A249" s="1068" t="s">
        <v>1752</v>
      </c>
      <c r="B249" s="1069"/>
      <c r="C249" s="928" t="s">
        <v>1739</v>
      </c>
      <c r="D249" s="928">
        <v>12</v>
      </c>
      <c r="E249" s="928" t="s">
        <v>1728</v>
      </c>
      <c r="F249" s="1104"/>
      <c r="G249" s="1073"/>
      <c r="H249" s="1073"/>
      <c r="I249" s="873">
        <f t="shared" si="5"/>
        <v>5700</v>
      </c>
      <c r="J249" s="873">
        <f t="shared" si="6"/>
        <v>3800</v>
      </c>
      <c r="K249" s="873">
        <v>9500</v>
      </c>
    </row>
    <row r="250" spans="1:11" s="901" customFormat="1" ht="165.75" customHeight="1">
      <c r="A250" s="1068" t="s">
        <v>1754</v>
      </c>
      <c r="B250" s="1069"/>
      <c r="C250" s="928" t="s">
        <v>1740</v>
      </c>
      <c r="D250" s="928">
        <v>2</v>
      </c>
      <c r="E250" s="928" t="s">
        <v>1728</v>
      </c>
      <c r="F250" s="1104"/>
      <c r="G250" s="1074"/>
      <c r="H250" s="1074"/>
      <c r="I250" s="873">
        <v>20000</v>
      </c>
      <c r="J250" s="873"/>
      <c r="K250" s="873">
        <v>20000</v>
      </c>
    </row>
    <row r="251" spans="1:11" s="901" customFormat="1" ht="165.75" customHeight="1">
      <c r="A251" s="936"/>
      <c r="B251" s="937"/>
      <c r="C251" s="928"/>
      <c r="D251" s="928"/>
      <c r="E251" s="928"/>
      <c r="F251" s="842"/>
      <c r="G251" s="938"/>
      <c r="H251" s="938"/>
      <c r="I251" s="873"/>
      <c r="J251" s="873"/>
      <c r="K251" s="873"/>
    </row>
    <row r="252" spans="1:11" s="901" customFormat="1" ht="165.75" customHeight="1">
      <c r="A252" s="1120" t="s">
        <v>2520</v>
      </c>
      <c r="B252" s="1121"/>
      <c r="C252" s="940"/>
      <c r="D252" s="940"/>
      <c r="E252" s="940"/>
      <c r="F252" s="810"/>
      <c r="G252" s="941"/>
      <c r="H252" s="941"/>
      <c r="I252" s="966">
        <v>20352</v>
      </c>
      <c r="J252" s="966"/>
      <c r="K252" s="966">
        <f>I252+J252</f>
        <v>20352</v>
      </c>
    </row>
    <row r="253" spans="1:11" s="901" customFormat="1" ht="165.75" customHeight="1">
      <c r="A253" s="1122" t="s">
        <v>2521</v>
      </c>
      <c r="B253" s="1123"/>
      <c r="C253" s="943"/>
      <c r="D253" s="943"/>
      <c r="E253" s="943"/>
      <c r="F253" s="810"/>
      <c r="G253" s="941"/>
      <c r="H253" s="941"/>
      <c r="I253" s="966">
        <v>3820</v>
      </c>
      <c r="J253" s="966"/>
      <c r="K253" s="966">
        <v>120694</v>
      </c>
    </row>
    <row r="254" spans="1:11" s="902" customFormat="1" ht="165.75" customHeight="1">
      <c r="A254" s="1070" t="s">
        <v>481</v>
      </c>
      <c r="B254" s="1071"/>
      <c r="C254" s="925"/>
      <c r="D254" s="925"/>
      <c r="E254" s="925"/>
      <c r="F254" s="931"/>
      <c r="G254" s="925"/>
      <c r="H254" s="926"/>
      <c r="I254" s="871">
        <f>SUM(I255:I256)</f>
        <v>157196</v>
      </c>
      <c r="J254" s="871">
        <f>SUM(J255:J256)</f>
        <v>103915</v>
      </c>
      <c r="K254" s="871">
        <f t="shared" ref="K254:K259" si="7">I254+J254</f>
        <v>261111</v>
      </c>
    </row>
    <row r="255" spans="1:11" s="901" customFormat="1" ht="165.75" customHeight="1">
      <c r="A255" s="1068" t="s">
        <v>1755</v>
      </c>
      <c r="B255" s="1069"/>
      <c r="C255" s="928" t="s">
        <v>1756</v>
      </c>
      <c r="D255" s="928">
        <v>100</v>
      </c>
      <c r="E255" s="928" t="s">
        <v>1731</v>
      </c>
      <c r="F255" s="842" t="s">
        <v>2228</v>
      </c>
      <c r="G255" s="932" t="s">
        <v>1321</v>
      </c>
      <c r="H255" s="932" t="s">
        <v>2451</v>
      </c>
      <c r="I255" s="873">
        <v>150985</v>
      </c>
      <c r="J255" s="873">
        <v>103915</v>
      </c>
      <c r="K255" s="873">
        <f t="shared" si="7"/>
        <v>254900</v>
      </c>
    </row>
    <row r="256" spans="1:11" s="901" customFormat="1" ht="165.75" customHeight="1">
      <c r="A256" s="1120" t="s">
        <v>2522</v>
      </c>
      <c r="B256" s="1121"/>
      <c r="C256" s="940"/>
      <c r="D256" s="940"/>
      <c r="E256" s="940"/>
      <c r="F256" s="810"/>
      <c r="G256" s="944"/>
      <c r="H256" s="944"/>
      <c r="I256" s="966">
        <v>6211</v>
      </c>
      <c r="J256" s="966"/>
      <c r="K256" s="966">
        <f t="shared" si="7"/>
        <v>6211</v>
      </c>
    </row>
    <row r="257" spans="1:11" s="902" customFormat="1" ht="165.75" customHeight="1">
      <c r="A257" s="1070" t="s">
        <v>1248</v>
      </c>
      <c r="B257" s="1124"/>
      <c r="C257" s="925"/>
      <c r="D257" s="925"/>
      <c r="E257" s="925"/>
      <c r="F257" s="931"/>
      <c r="G257" s="925"/>
      <c r="H257" s="926"/>
      <c r="I257" s="871">
        <f>SUM(I258:I259)</f>
        <v>3947</v>
      </c>
      <c r="J257" s="871">
        <f>SUM(J258:J259)</f>
        <v>2715</v>
      </c>
      <c r="K257" s="871">
        <f t="shared" si="7"/>
        <v>6662</v>
      </c>
    </row>
    <row r="258" spans="1:11" s="901" customFormat="1" ht="165.75" customHeight="1">
      <c r="A258" s="1068" t="s">
        <v>1757</v>
      </c>
      <c r="B258" s="1069"/>
      <c r="C258" s="928" t="s">
        <v>1756</v>
      </c>
      <c r="D258" s="928">
        <v>2</v>
      </c>
      <c r="E258" s="928" t="s">
        <v>1731</v>
      </c>
      <c r="F258" s="1044" t="s">
        <v>2227</v>
      </c>
      <c r="G258" s="1075" t="s">
        <v>1321</v>
      </c>
      <c r="H258" s="1075" t="s">
        <v>2447</v>
      </c>
      <c r="I258" s="873">
        <v>1656</v>
      </c>
      <c r="J258" s="873">
        <v>1139</v>
      </c>
      <c r="K258" s="873">
        <f t="shared" si="7"/>
        <v>2795</v>
      </c>
    </row>
    <row r="259" spans="1:11" s="901" customFormat="1" ht="165.75" customHeight="1">
      <c r="A259" s="1068" t="s">
        <v>1758</v>
      </c>
      <c r="B259" s="1069"/>
      <c r="C259" s="928" t="s">
        <v>1734</v>
      </c>
      <c r="D259" s="928">
        <v>5</v>
      </c>
      <c r="E259" s="928" t="s">
        <v>1731</v>
      </c>
      <c r="F259" s="1046"/>
      <c r="G259" s="1077"/>
      <c r="H259" s="1077"/>
      <c r="I259" s="873">
        <v>2291</v>
      </c>
      <c r="J259" s="873">
        <v>1576</v>
      </c>
      <c r="K259" s="873">
        <f t="shared" si="7"/>
        <v>3867</v>
      </c>
    </row>
    <row r="260" spans="1:11" s="901" customFormat="1" ht="79.5" customHeight="1">
      <c r="A260" s="1131" t="s">
        <v>2455</v>
      </c>
      <c r="B260" s="1131"/>
      <c r="C260" s="1131"/>
      <c r="D260" s="1131"/>
      <c r="E260" s="1131"/>
      <c r="F260" s="1131"/>
      <c r="G260" s="1131"/>
      <c r="H260" s="1131"/>
      <c r="I260" s="968"/>
      <c r="J260" s="968"/>
      <c r="K260" s="968"/>
    </row>
    <row r="261" spans="1:11" s="969" customFormat="1" ht="79.5" customHeight="1">
      <c r="A261" s="1131" t="s">
        <v>2456</v>
      </c>
      <c r="B261" s="1131"/>
      <c r="C261" s="1131"/>
      <c r="D261" s="1131"/>
      <c r="E261" s="1131"/>
      <c r="F261" s="1131"/>
      <c r="G261" s="1131"/>
      <c r="H261" s="1131"/>
      <c r="I261" s="903"/>
      <c r="J261" s="903"/>
      <c r="K261" s="903"/>
    </row>
    <row r="262" spans="1:11" s="510" customFormat="1" ht="74.25" hidden="1" customHeight="1">
      <c r="A262" s="753"/>
      <c r="B262" s="753"/>
      <c r="C262" s="754"/>
      <c r="D262" s="754"/>
      <c r="E262" s="754"/>
      <c r="F262" s="755"/>
      <c r="G262" s="756"/>
      <c r="H262" s="756"/>
      <c r="I262" s="757"/>
      <c r="J262" s="757"/>
      <c r="K262" s="757"/>
    </row>
    <row r="263" spans="1:11" s="510" customFormat="1" ht="74.25" hidden="1" customHeight="1">
      <c r="A263" s="753"/>
      <c r="B263" s="753"/>
      <c r="C263" s="754"/>
      <c r="D263" s="754"/>
      <c r="E263" s="754"/>
      <c r="F263" s="755"/>
      <c r="G263" s="756"/>
      <c r="H263" s="756"/>
      <c r="I263" s="757"/>
      <c r="J263" s="757"/>
      <c r="K263" s="757"/>
    </row>
    <row r="264" spans="1:11" s="510" customFormat="1" ht="74.25" hidden="1" customHeight="1">
      <c r="A264" s="753"/>
      <c r="B264" s="753"/>
      <c r="C264" s="754"/>
      <c r="D264" s="754"/>
      <c r="E264" s="754"/>
      <c r="F264" s="755"/>
      <c r="G264" s="756"/>
      <c r="H264" s="756"/>
      <c r="I264" s="757"/>
      <c r="J264" s="757"/>
      <c r="K264" s="757"/>
    </row>
    <row r="265" spans="1:11" ht="34.5" hidden="1" customHeight="1">
      <c r="A265" s="1128" t="s">
        <v>51</v>
      </c>
      <c r="B265" s="1128"/>
      <c r="C265" s="1128"/>
      <c r="D265" s="1128"/>
      <c r="E265" s="1128"/>
      <c r="F265" s="1128"/>
      <c r="G265" s="1128"/>
      <c r="H265" s="1128"/>
      <c r="I265" s="1128"/>
      <c r="J265" s="1128"/>
      <c r="K265" s="1128"/>
    </row>
    <row r="266" spans="1:11" ht="30.75" hidden="1" customHeight="1">
      <c r="A266" s="1128" t="s">
        <v>52</v>
      </c>
      <c r="B266" s="1128"/>
      <c r="C266" s="1128"/>
      <c r="D266" s="1128"/>
      <c r="E266" s="1128"/>
      <c r="F266" s="1128"/>
      <c r="G266" s="1128"/>
      <c r="H266" s="1128"/>
      <c r="I266" s="1128"/>
      <c r="J266" s="1128"/>
      <c r="K266" s="1128"/>
    </row>
    <row r="267" spans="1:11" ht="33" hidden="1" customHeight="1">
      <c r="A267" s="1132" t="s">
        <v>50</v>
      </c>
      <c r="B267" s="1132"/>
      <c r="C267" s="1132"/>
      <c r="D267" s="1132"/>
      <c r="E267" s="1132"/>
      <c r="F267" s="1132"/>
      <c r="G267" s="1132"/>
      <c r="H267" s="1132"/>
      <c r="I267" s="1132"/>
      <c r="J267" s="1132"/>
      <c r="K267" s="1132"/>
    </row>
    <row r="268" spans="1:11" ht="33" hidden="1" customHeight="1">
      <c r="A268" s="154"/>
      <c r="B268" s="154"/>
      <c r="C268" s="154"/>
      <c r="D268" s="154"/>
      <c r="E268" s="154"/>
      <c r="F268" s="154"/>
      <c r="G268" s="707"/>
      <c r="H268" s="707"/>
      <c r="I268" s="707"/>
      <c r="J268" s="707"/>
      <c r="K268" s="707"/>
    </row>
    <row r="269" spans="1:11" ht="35.25" hidden="1">
      <c r="A269" s="1128" t="s">
        <v>1489</v>
      </c>
      <c r="B269" s="1128"/>
      <c r="C269" s="1128"/>
      <c r="D269" s="1128"/>
      <c r="E269" s="1128"/>
      <c r="F269" s="1128"/>
      <c r="G269" s="1128"/>
      <c r="H269" s="1128"/>
      <c r="I269" s="1128"/>
      <c r="J269" s="1128"/>
      <c r="K269" s="1128"/>
    </row>
    <row r="270" spans="1:11" s="620" customFormat="1" ht="33" hidden="1">
      <c r="A270" s="65"/>
      <c r="B270" s="65"/>
      <c r="C270" s="65"/>
      <c r="D270" s="65"/>
      <c r="E270" s="65"/>
      <c r="F270" s="65"/>
      <c r="G270" s="68"/>
      <c r="H270" s="68"/>
      <c r="I270" s="68"/>
      <c r="J270" s="68"/>
      <c r="K270" s="68"/>
    </row>
    <row r="271" spans="1:11" ht="20.100000000000001" hidden="1" customHeight="1">
      <c r="A271" s="65"/>
      <c r="B271" s="65"/>
      <c r="C271" s="65"/>
      <c r="D271" s="65"/>
      <c r="E271" s="65"/>
      <c r="F271" s="65"/>
      <c r="G271" s="68"/>
      <c r="H271" s="68"/>
      <c r="I271" s="68"/>
      <c r="J271" s="68"/>
      <c r="K271" s="68"/>
    </row>
    <row r="272" spans="1:11" ht="20.100000000000001" hidden="1" customHeight="1">
      <c r="A272" s="979"/>
      <c r="B272" s="979"/>
      <c r="C272" s="979"/>
      <c r="D272" s="979"/>
      <c r="E272" s="979"/>
      <c r="F272" s="979"/>
      <c r="G272" s="979"/>
      <c r="H272" s="979"/>
      <c r="I272" s="979"/>
      <c r="J272" s="979"/>
      <c r="K272" s="979"/>
    </row>
    <row r="273" spans="1:11" ht="45.75" hidden="1" customHeight="1">
      <c r="A273" s="1030" t="s">
        <v>1381</v>
      </c>
      <c r="B273" s="1030"/>
      <c r="C273" s="1030"/>
      <c r="D273" s="1030"/>
      <c r="E273" s="1030"/>
      <c r="F273" s="1030"/>
      <c r="G273" s="1030"/>
      <c r="H273" s="1030"/>
      <c r="I273" s="1030"/>
      <c r="J273" s="1030"/>
      <c r="K273" s="1030"/>
    </row>
    <row r="274" spans="1:11" ht="66" hidden="1" customHeight="1">
      <c r="A274" s="1031" t="s">
        <v>37</v>
      </c>
      <c r="B274" s="1033"/>
      <c r="C274" s="1037" t="s">
        <v>178</v>
      </c>
      <c r="D274" s="1037" t="s">
        <v>179</v>
      </c>
      <c r="E274" s="1037" t="s">
        <v>1521</v>
      </c>
      <c r="F274" s="1037" t="s">
        <v>14</v>
      </c>
      <c r="G274" s="1037" t="s">
        <v>1515</v>
      </c>
      <c r="H274" s="1037" t="s">
        <v>16</v>
      </c>
      <c r="I274" s="1039" t="s">
        <v>1490</v>
      </c>
      <c r="J274" s="1039" t="s">
        <v>2203</v>
      </c>
      <c r="K274" s="1037" t="s">
        <v>200</v>
      </c>
    </row>
    <row r="275" spans="1:11" s="500" customFormat="1" ht="30" hidden="1">
      <c r="A275" s="1034"/>
      <c r="B275" s="1036"/>
      <c r="C275" s="1038"/>
      <c r="D275" s="1038"/>
      <c r="E275" s="1038"/>
      <c r="F275" s="1038"/>
      <c r="G275" s="1038"/>
      <c r="H275" s="1038"/>
      <c r="I275" s="1039"/>
      <c r="J275" s="1039"/>
      <c r="K275" s="1038"/>
    </row>
    <row r="276" spans="1:11" s="500" customFormat="1" ht="74.25" hidden="1" customHeight="1">
      <c r="A276" s="1102" t="s">
        <v>1803</v>
      </c>
      <c r="B276" s="1103"/>
      <c r="C276" s="729"/>
      <c r="D276" s="729"/>
      <c r="E276" s="726"/>
      <c r="F276" s="727"/>
      <c r="G276" s="728"/>
      <c r="H276" s="728"/>
      <c r="I276" s="642">
        <f>I279+I288+I277</f>
        <v>148380</v>
      </c>
      <c r="J276" s="642">
        <f>J279+J288+J277</f>
        <v>98920</v>
      </c>
      <c r="K276" s="642">
        <f>I276+J276</f>
        <v>247300</v>
      </c>
    </row>
    <row r="277" spans="1:11" s="579" customFormat="1" ht="73.5" hidden="1" customHeight="1">
      <c r="A277" s="1011" t="s">
        <v>2251</v>
      </c>
      <c r="B277" s="1012"/>
      <c r="C277" s="1012"/>
      <c r="D277" s="1012"/>
      <c r="E277" s="1012"/>
      <c r="F277" s="1013"/>
      <c r="G277" s="709"/>
      <c r="H277" s="710"/>
      <c r="I277" s="545">
        <f>I278</f>
        <v>57310.799999999996</v>
      </c>
      <c r="J277" s="545">
        <f>J278</f>
        <v>38207.199999999997</v>
      </c>
      <c r="K277" s="545">
        <f>I277+J277</f>
        <v>95518</v>
      </c>
    </row>
    <row r="278" spans="1:11" s="510" customFormat="1" ht="74.25" hidden="1" customHeight="1">
      <c r="A278" s="1020" t="s">
        <v>1804</v>
      </c>
      <c r="B278" s="1022"/>
      <c r="C278" s="714" t="s">
        <v>1544</v>
      </c>
      <c r="D278" s="714"/>
      <c r="E278" s="714" t="s">
        <v>1544</v>
      </c>
      <c r="F278" s="780" t="s">
        <v>2252</v>
      </c>
      <c r="G278" s="711">
        <v>8100</v>
      </c>
      <c r="H278" s="782" t="s">
        <v>2273</v>
      </c>
      <c r="I278" s="717">
        <f>K278/100*60</f>
        <v>57310.799999999996</v>
      </c>
      <c r="J278" s="717">
        <f>K278/100*40</f>
        <v>38207.199999999997</v>
      </c>
      <c r="K278" s="717">
        <v>95518</v>
      </c>
    </row>
    <row r="279" spans="1:11" ht="75" hidden="1" customHeight="1">
      <c r="A279" s="1011" t="s">
        <v>1541</v>
      </c>
      <c r="B279" s="1013"/>
      <c r="C279" s="709"/>
      <c r="D279" s="709"/>
      <c r="E279" s="709"/>
      <c r="F279" s="708"/>
      <c r="G279" s="709"/>
      <c r="H279" s="710"/>
      <c r="I279" s="545">
        <f>SUM(I280:I287)</f>
        <v>74269.2</v>
      </c>
      <c r="J279" s="545">
        <f>SUM(J280:J287)</f>
        <v>49512.800000000003</v>
      </c>
      <c r="K279" s="545">
        <f>I279+J279</f>
        <v>123782</v>
      </c>
    </row>
    <row r="280" spans="1:11" s="510" customFormat="1" ht="74.25" hidden="1" customHeight="1">
      <c r="A280" s="1020" t="s">
        <v>1842</v>
      </c>
      <c r="B280" s="1022"/>
      <c r="C280" s="714" t="s">
        <v>1544</v>
      </c>
      <c r="D280" s="714"/>
      <c r="E280" s="714" t="s">
        <v>1544</v>
      </c>
      <c r="F280" s="781" t="s">
        <v>2229</v>
      </c>
      <c r="G280" s="1047">
        <v>8100</v>
      </c>
      <c r="H280" s="1099" t="s">
        <v>2273</v>
      </c>
      <c r="I280" s="717">
        <f t="shared" ref="I280:I287" si="8">K280/100*60</f>
        <v>19200</v>
      </c>
      <c r="J280" s="717">
        <f t="shared" ref="J280:J287" si="9">K280/100*40</f>
        <v>12800</v>
      </c>
      <c r="K280" s="717">
        <v>32000</v>
      </c>
    </row>
    <row r="281" spans="1:11" s="510" customFormat="1" ht="75" hidden="1" customHeight="1">
      <c r="A281" s="1020" t="s">
        <v>807</v>
      </c>
      <c r="B281" s="1022"/>
      <c r="C281" s="714" t="s">
        <v>1544</v>
      </c>
      <c r="D281" s="714"/>
      <c r="E281" s="714" t="s">
        <v>1544</v>
      </c>
      <c r="F281" s="780" t="s">
        <v>2236</v>
      </c>
      <c r="G281" s="1048"/>
      <c r="H281" s="1100"/>
      <c r="I281" s="717">
        <f t="shared" si="8"/>
        <v>1200</v>
      </c>
      <c r="J281" s="717">
        <f t="shared" si="9"/>
        <v>800</v>
      </c>
      <c r="K281" s="717">
        <v>2000</v>
      </c>
    </row>
    <row r="282" spans="1:11" s="510" customFormat="1" ht="75" hidden="1" customHeight="1">
      <c r="A282" s="1020" t="s">
        <v>1546</v>
      </c>
      <c r="B282" s="1022"/>
      <c r="C282" s="714" t="s">
        <v>1544</v>
      </c>
      <c r="D282" s="714"/>
      <c r="E282" s="714" t="s">
        <v>1544</v>
      </c>
      <c r="F282" s="776" t="s">
        <v>2230</v>
      </c>
      <c r="G282" s="1048"/>
      <c r="H282" s="1100"/>
      <c r="I282" s="717">
        <f t="shared" si="8"/>
        <v>14400</v>
      </c>
      <c r="J282" s="717">
        <f t="shared" si="9"/>
        <v>9600</v>
      </c>
      <c r="K282" s="717">
        <v>24000</v>
      </c>
    </row>
    <row r="283" spans="1:11" s="510" customFormat="1" ht="75" hidden="1" customHeight="1">
      <c r="A283" s="1020" t="s">
        <v>1568</v>
      </c>
      <c r="B283" s="1022"/>
      <c r="C283" s="714" t="s">
        <v>1544</v>
      </c>
      <c r="D283" s="714"/>
      <c r="E283" s="714" t="s">
        <v>1544</v>
      </c>
      <c r="F283" s="1044" t="s">
        <v>2231</v>
      </c>
      <c r="G283" s="1048"/>
      <c r="H283" s="1100"/>
      <c r="I283" s="717">
        <f t="shared" si="8"/>
        <v>24769.200000000001</v>
      </c>
      <c r="J283" s="717">
        <f t="shared" si="9"/>
        <v>16512.8</v>
      </c>
      <c r="K283" s="717">
        <v>41282</v>
      </c>
    </row>
    <row r="284" spans="1:11" s="510" customFormat="1" ht="75" hidden="1" customHeight="1">
      <c r="A284" s="1020" t="s">
        <v>804</v>
      </c>
      <c r="B284" s="1022"/>
      <c r="C284" s="714" t="s">
        <v>1544</v>
      </c>
      <c r="D284" s="714"/>
      <c r="E284" s="714" t="s">
        <v>1544</v>
      </c>
      <c r="F284" s="1142"/>
      <c r="G284" s="1048"/>
      <c r="H284" s="1100"/>
      <c r="I284" s="717">
        <f t="shared" si="8"/>
        <v>5400</v>
      </c>
      <c r="J284" s="717">
        <f t="shared" si="9"/>
        <v>3600</v>
      </c>
      <c r="K284" s="717">
        <v>9000</v>
      </c>
    </row>
    <row r="285" spans="1:11" s="510" customFormat="1" ht="75" hidden="1" customHeight="1">
      <c r="A285" s="1020" t="s">
        <v>461</v>
      </c>
      <c r="B285" s="1022"/>
      <c r="C285" s="714" t="s">
        <v>1544</v>
      </c>
      <c r="D285" s="714"/>
      <c r="E285" s="714" t="s">
        <v>1544</v>
      </c>
      <c r="F285" s="1142"/>
      <c r="G285" s="1048"/>
      <c r="H285" s="1100"/>
      <c r="I285" s="717">
        <f t="shared" si="8"/>
        <v>3300</v>
      </c>
      <c r="J285" s="717">
        <f t="shared" si="9"/>
        <v>2200</v>
      </c>
      <c r="K285" s="717">
        <v>5500</v>
      </c>
    </row>
    <row r="286" spans="1:11" s="510" customFormat="1" ht="75" hidden="1" customHeight="1">
      <c r="A286" s="1020" t="s">
        <v>805</v>
      </c>
      <c r="B286" s="1022"/>
      <c r="C286" s="714" t="s">
        <v>1544</v>
      </c>
      <c r="D286" s="714"/>
      <c r="E286" s="714" t="s">
        <v>1544</v>
      </c>
      <c r="F286" s="1142"/>
      <c r="G286" s="1048"/>
      <c r="H286" s="1100"/>
      <c r="I286" s="717">
        <f t="shared" si="8"/>
        <v>3000</v>
      </c>
      <c r="J286" s="717">
        <f t="shared" si="9"/>
        <v>2000</v>
      </c>
      <c r="K286" s="717">
        <v>5000</v>
      </c>
    </row>
    <row r="287" spans="1:11" s="510" customFormat="1" ht="75" hidden="1" customHeight="1">
      <c r="A287" s="1020" t="s">
        <v>806</v>
      </c>
      <c r="B287" s="1022"/>
      <c r="C287" s="714" t="s">
        <v>1544</v>
      </c>
      <c r="D287" s="714"/>
      <c r="E287" s="714" t="s">
        <v>1544</v>
      </c>
      <c r="F287" s="1143"/>
      <c r="G287" s="1048"/>
      <c r="H287" s="1100"/>
      <c r="I287" s="717">
        <f t="shared" si="8"/>
        <v>3000</v>
      </c>
      <c r="J287" s="717">
        <f t="shared" si="9"/>
        <v>2000</v>
      </c>
      <c r="K287" s="717">
        <v>5000</v>
      </c>
    </row>
    <row r="288" spans="1:11" ht="73.5" hidden="1" customHeight="1">
      <c r="A288" s="1011" t="s">
        <v>312</v>
      </c>
      <c r="B288" s="1013"/>
      <c r="C288" s="709"/>
      <c r="D288" s="709"/>
      <c r="E288" s="709"/>
      <c r="F288" s="708"/>
      <c r="G288" s="709"/>
      <c r="H288" s="710"/>
      <c r="I288" s="545">
        <f>SUM(I289:I289)</f>
        <v>16800</v>
      </c>
      <c r="J288" s="545">
        <f>SUM(J289:J289)</f>
        <v>11200</v>
      </c>
      <c r="K288" s="545">
        <f>SUM(K289:K289)</f>
        <v>28000</v>
      </c>
    </row>
    <row r="289" spans="1:11" s="510" customFormat="1" ht="74.25" hidden="1" customHeight="1">
      <c r="A289" s="1020" t="s">
        <v>1843</v>
      </c>
      <c r="B289" s="1022"/>
      <c r="C289" s="714" t="s">
        <v>1544</v>
      </c>
      <c r="D289" s="714"/>
      <c r="E289" s="714" t="s">
        <v>1544</v>
      </c>
      <c r="F289" s="777" t="s">
        <v>2224</v>
      </c>
      <c r="G289" s="711">
        <v>8100</v>
      </c>
      <c r="H289" s="783" t="s">
        <v>2273</v>
      </c>
      <c r="I289" s="717">
        <f>K289/100*60</f>
        <v>16800</v>
      </c>
      <c r="J289" s="717">
        <f>K289/100*40</f>
        <v>11200</v>
      </c>
      <c r="K289" s="717">
        <v>28000</v>
      </c>
    </row>
    <row r="290" spans="1:11" s="510" customFormat="1" ht="74.25" hidden="1" customHeight="1">
      <c r="A290" s="753"/>
      <c r="B290" s="753"/>
      <c r="C290" s="754"/>
      <c r="D290" s="754"/>
      <c r="E290" s="754"/>
      <c r="F290" s="755"/>
      <c r="G290" s="758"/>
      <c r="H290" s="756"/>
      <c r="I290" s="757"/>
      <c r="J290" s="757"/>
      <c r="K290" s="757"/>
    </row>
    <row r="291" spans="1:11" s="510" customFormat="1" ht="74.25" hidden="1" customHeight="1">
      <c r="A291" s="753"/>
      <c r="B291" s="753"/>
      <c r="C291" s="754"/>
      <c r="D291" s="754"/>
      <c r="E291" s="754"/>
      <c r="F291" s="755"/>
      <c r="G291" s="758"/>
      <c r="H291" s="756"/>
      <c r="I291" s="757"/>
      <c r="J291" s="757"/>
      <c r="K291" s="757"/>
    </row>
    <row r="292" spans="1:11" ht="34.5" hidden="1" customHeight="1">
      <c r="A292" s="1128" t="s">
        <v>51</v>
      </c>
      <c r="B292" s="1128"/>
      <c r="C292" s="1128"/>
      <c r="D292" s="1128"/>
      <c r="E292" s="1128"/>
      <c r="F292" s="1128"/>
      <c r="G292" s="1128"/>
      <c r="H292" s="1128"/>
      <c r="I292" s="1128"/>
      <c r="J292" s="1128"/>
      <c r="K292" s="1128"/>
    </row>
    <row r="293" spans="1:11" ht="30.75" hidden="1" customHeight="1">
      <c r="A293" s="1128" t="s">
        <v>52</v>
      </c>
      <c r="B293" s="1128"/>
      <c r="C293" s="1128"/>
      <c r="D293" s="1128"/>
      <c r="E293" s="1128"/>
      <c r="F293" s="1128"/>
      <c r="G293" s="1128"/>
      <c r="H293" s="1128"/>
      <c r="I293" s="1128"/>
      <c r="J293" s="1128"/>
      <c r="K293" s="1128"/>
    </row>
    <row r="294" spans="1:11" ht="33" hidden="1" customHeight="1">
      <c r="A294" s="1132" t="s">
        <v>50</v>
      </c>
      <c r="B294" s="1132"/>
      <c r="C294" s="1132"/>
      <c r="D294" s="1132"/>
      <c r="E294" s="1132"/>
      <c r="F294" s="1132"/>
      <c r="G294" s="1132"/>
      <c r="H294" s="1132"/>
      <c r="I294" s="1132"/>
      <c r="J294" s="1132"/>
      <c r="K294" s="1132"/>
    </row>
    <row r="295" spans="1:11" ht="33" hidden="1" customHeight="1">
      <c r="A295" s="154"/>
      <c r="B295" s="154"/>
      <c r="C295" s="154"/>
      <c r="D295" s="154"/>
      <c r="E295" s="154"/>
      <c r="F295" s="154"/>
      <c r="G295" s="707"/>
      <c r="H295" s="707"/>
      <c r="I295" s="707"/>
      <c r="J295" s="707"/>
      <c r="K295" s="707"/>
    </row>
    <row r="296" spans="1:11" ht="35.25" hidden="1">
      <c r="A296" s="1128" t="s">
        <v>1489</v>
      </c>
      <c r="B296" s="1128"/>
      <c r="C296" s="1128"/>
      <c r="D296" s="1128"/>
      <c r="E296" s="1128"/>
      <c r="F296" s="1128"/>
      <c r="G296" s="1128"/>
      <c r="H296" s="1128"/>
      <c r="I296" s="1128"/>
      <c r="J296" s="1128"/>
      <c r="K296" s="1128"/>
    </row>
    <row r="297" spans="1:11" s="620" customFormat="1" ht="33" hidden="1">
      <c r="A297" s="65"/>
      <c r="B297" s="65"/>
      <c r="C297" s="65"/>
      <c r="D297" s="65"/>
      <c r="E297" s="65"/>
      <c r="F297" s="65"/>
      <c r="G297" s="68"/>
      <c r="H297" s="68"/>
      <c r="I297" s="68"/>
      <c r="J297" s="68"/>
      <c r="K297" s="68"/>
    </row>
    <row r="298" spans="1:11" ht="20.100000000000001" hidden="1" customHeight="1">
      <c r="A298" s="65"/>
      <c r="B298" s="65"/>
      <c r="C298" s="65"/>
      <c r="D298" s="65"/>
      <c r="E298" s="65"/>
      <c r="F298" s="65"/>
      <c r="G298" s="68"/>
      <c r="H298" s="68"/>
      <c r="I298" s="68"/>
      <c r="J298" s="68"/>
      <c r="K298" s="68"/>
    </row>
    <row r="299" spans="1:11" ht="20.100000000000001" hidden="1" customHeight="1">
      <c r="A299" s="979"/>
      <c r="B299" s="979"/>
      <c r="C299" s="979"/>
      <c r="D299" s="979"/>
      <c r="E299" s="979"/>
      <c r="F299" s="979"/>
      <c r="G299" s="979"/>
      <c r="H299" s="979"/>
      <c r="I299" s="979"/>
      <c r="J299" s="979"/>
      <c r="K299" s="979"/>
    </row>
    <row r="300" spans="1:11" ht="45.75" hidden="1" customHeight="1">
      <c r="A300" s="1030" t="s">
        <v>1381</v>
      </c>
      <c r="B300" s="1030"/>
      <c r="C300" s="1030"/>
      <c r="D300" s="1030"/>
      <c r="E300" s="1030"/>
      <c r="F300" s="1030"/>
      <c r="G300" s="1030"/>
      <c r="H300" s="1030"/>
      <c r="I300" s="1030"/>
      <c r="J300" s="1030"/>
      <c r="K300" s="1030"/>
    </row>
    <row r="301" spans="1:11" ht="66" hidden="1" customHeight="1">
      <c r="A301" s="1031" t="s">
        <v>37</v>
      </c>
      <c r="B301" s="1033"/>
      <c r="C301" s="1037" t="s">
        <v>178</v>
      </c>
      <c r="D301" s="1037" t="s">
        <v>179</v>
      </c>
      <c r="E301" s="1037" t="s">
        <v>1521</v>
      </c>
      <c r="F301" s="1037" t="s">
        <v>14</v>
      </c>
      <c r="G301" s="1037" t="s">
        <v>1515</v>
      </c>
      <c r="H301" s="1037" t="s">
        <v>16</v>
      </c>
      <c r="I301" s="1039" t="s">
        <v>1490</v>
      </c>
      <c r="J301" s="1039" t="s">
        <v>2203</v>
      </c>
      <c r="K301" s="1037" t="s">
        <v>200</v>
      </c>
    </row>
    <row r="302" spans="1:11" s="500" customFormat="1" ht="30" hidden="1">
      <c r="A302" s="1034"/>
      <c r="B302" s="1036"/>
      <c r="C302" s="1038"/>
      <c r="D302" s="1038"/>
      <c r="E302" s="1038"/>
      <c r="F302" s="1038"/>
      <c r="G302" s="1038"/>
      <c r="H302" s="1038"/>
      <c r="I302" s="1039"/>
      <c r="J302" s="1039"/>
      <c r="K302" s="1038"/>
    </row>
    <row r="303" spans="1:11" s="500" customFormat="1" ht="74.25" hidden="1" customHeight="1">
      <c r="A303" s="1102" t="s">
        <v>1711</v>
      </c>
      <c r="B303" s="1103"/>
      <c r="C303" s="729"/>
      <c r="D303" s="729"/>
      <c r="E303" s="726"/>
      <c r="F303" s="727"/>
      <c r="G303" s="728"/>
      <c r="H303" s="728"/>
      <c r="I303" s="642">
        <f>I304+I319+I322</f>
        <v>908290</v>
      </c>
      <c r="J303" s="642">
        <f>J304+J319+J322</f>
        <v>552680</v>
      </c>
      <c r="K303" s="642">
        <f>I303+J303</f>
        <v>1460970</v>
      </c>
    </row>
    <row r="304" spans="1:11" ht="74.25" hidden="1" customHeight="1">
      <c r="A304" s="1011" t="s">
        <v>332</v>
      </c>
      <c r="B304" s="1013"/>
      <c r="C304" s="504"/>
      <c r="D304" s="709"/>
      <c r="E304" s="709"/>
      <c r="F304" s="708"/>
      <c r="G304" s="709"/>
      <c r="H304" s="710"/>
      <c r="I304" s="545">
        <f>SUM(I305:I318)</f>
        <v>718666</v>
      </c>
      <c r="J304" s="545">
        <f>SUM(J305:J318)</f>
        <v>427202</v>
      </c>
      <c r="K304" s="545">
        <f>I304+J304</f>
        <v>1145868</v>
      </c>
    </row>
    <row r="305" spans="1:11" s="510" customFormat="1" ht="74.25" hidden="1" customHeight="1">
      <c r="A305" s="1059" t="s">
        <v>1779</v>
      </c>
      <c r="B305" s="1061"/>
      <c r="C305" s="789" t="s">
        <v>1727</v>
      </c>
      <c r="D305" s="789">
        <v>18</v>
      </c>
      <c r="E305" s="789" t="s">
        <v>1728</v>
      </c>
      <c r="F305" s="776" t="s">
        <v>2237</v>
      </c>
      <c r="G305" s="1047">
        <v>8100</v>
      </c>
      <c r="H305" s="1099" t="s">
        <v>2446</v>
      </c>
      <c r="I305" s="717">
        <f>73439+4900</f>
        <v>78339</v>
      </c>
      <c r="J305" s="717"/>
      <c r="K305" s="717">
        <v>73439</v>
      </c>
    </row>
    <row r="306" spans="1:11" s="510" customFormat="1" ht="74.25" hidden="1" customHeight="1">
      <c r="A306" s="1020" t="s">
        <v>1769</v>
      </c>
      <c r="B306" s="1022"/>
      <c r="C306" s="714" t="s">
        <v>1730</v>
      </c>
      <c r="D306" s="714">
        <v>5</v>
      </c>
      <c r="E306" s="714" t="s">
        <v>1731</v>
      </c>
      <c r="F306" s="1044" t="s">
        <v>2226</v>
      </c>
      <c r="G306" s="1048"/>
      <c r="H306" s="1100"/>
      <c r="I306" s="717">
        <f t="shared" ref="I306:I315" si="10">K306/100*60</f>
        <v>10500</v>
      </c>
      <c r="J306" s="717">
        <f t="shared" ref="J306:J315" si="11">K306/100*40</f>
        <v>7000</v>
      </c>
      <c r="K306" s="717">
        <v>17500</v>
      </c>
    </row>
    <row r="307" spans="1:11" s="510" customFormat="1" ht="74.25" hidden="1" customHeight="1">
      <c r="A307" s="1020" t="s">
        <v>1770</v>
      </c>
      <c r="B307" s="1022"/>
      <c r="C307" s="714" t="s">
        <v>1732</v>
      </c>
      <c r="D307" s="714">
        <v>10</v>
      </c>
      <c r="E307" s="714" t="s">
        <v>1733</v>
      </c>
      <c r="F307" s="1045"/>
      <c r="G307" s="1048"/>
      <c r="H307" s="1100"/>
      <c r="I307" s="717">
        <f t="shared" si="10"/>
        <v>21000</v>
      </c>
      <c r="J307" s="717">
        <f t="shared" si="11"/>
        <v>14000</v>
      </c>
      <c r="K307" s="717">
        <v>35000</v>
      </c>
    </row>
    <row r="308" spans="1:11" s="510" customFormat="1" ht="74.25" hidden="1" customHeight="1">
      <c r="A308" s="1020" t="s">
        <v>1775</v>
      </c>
      <c r="B308" s="1022"/>
      <c r="C308" s="714" t="s">
        <v>1716</v>
      </c>
      <c r="D308" s="714">
        <v>15</v>
      </c>
      <c r="E308" s="714" t="s">
        <v>1717</v>
      </c>
      <c r="F308" s="1046"/>
      <c r="G308" s="1048"/>
      <c r="H308" s="1100"/>
      <c r="I308" s="717">
        <f>K308/100*60</f>
        <v>80400</v>
      </c>
      <c r="J308" s="717">
        <f>K308/100*40</f>
        <v>53600</v>
      </c>
      <c r="K308" s="717">
        <v>134000</v>
      </c>
    </row>
    <row r="309" spans="1:11" s="510" customFormat="1" ht="74.25" hidden="1" customHeight="1">
      <c r="A309" s="1020" t="s">
        <v>1771</v>
      </c>
      <c r="B309" s="1022"/>
      <c r="C309" s="714" t="s">
        <v>1734</v>
      </c>
      <c r="D309" s="714">
        <v>90</v>
      </c>
      <c r="E309" s="714" t="s">
        <v>1728</v>
      </c>
      <c r="F309" s="777" t="s">
        <v>2238</v>
      </c>
      <c r="G309" s="1048"/>
      <c r="H309" s="1100"/>
      <c r="I309" s="717">
        <f t="shared" si="10"/>
        <v>48000</v>
      </c>
      <c r="J309" s="717">
        <f t="shared" si="11"/>
        <v>32000</v>
      </c>
      <c r="K309" s="717">
        <v>80000</v>
      </c>
    </row>
    <row r="310" spans="1:11" s="510" customFormat="1" ht="74.25" hidden="1" customHeight="1">
      <c r="A310" s="1020" t="s">
        <v>1772</v>
      </c>
      <c r="B310" s="1022"/>
      <c r="C310" s="714" t="s">
        <v>1735</v>
      </c>
      <c r="D310" s="714">
        <v>32</v>
      </c>
      <c r="E310" s="714" t="s">
        <v>1728</v>
      </c>
      <c r="F310" s="1104" t="s">
        <v>2239</v>
      </c>
      <c r="G310" s="1048"/>
      <c r="H310" s="1100"/>
      <c r="I310" s="717">
        <f t="shared" si="10"/>
        <v>51600</v>
      </c>
      <c r="J310" s="717">
        <f t="shared" si="11"/>
        <v>34400</v>
      </c>
      <c r="K310" s="717">
        <v>86000</v>
      </c>
    </row>
    <row r="311" spans="1:11" s="510" customFormat="1" ht="74.25" hidden="1" customHeight="1">
      <c r="A311" s="1020" t="s">
        <v>1773</v>
      </c>
      <c r="B311" s="1022"/>
      <c r="C311" s="714" t="s">
        <v>1736</v>
      </c>
      <c r="D311" s="714">
        <v>68</v>
      </c>
      <c r="E311" s="714" t="s">
        <v>1728</v>
      </c>
      <c r="F311" s="1104"/>
      <c r="G311" s="1048"/>
      <c r="H311" s="1100"/>
      <c r="I311" s="717">
        <f t="shared" si="10"/>
        <v>37200</v>
      </c>
      <c r="J311" s="717">
        <f t="shared" si="11"/>
        <v>24800</v>
      </c>
      <c r="K311" s="717">
        <v>62000</v>
      </c>
    </row>
    <row r="312" spans="1:11" s="510" customFormat="1" ht="74.25" hidden="1" customHeight="1">
      <c r="A312" s="1020" t="s">
        <v>1774</v>
      </c>
      <c r="B312" s="1022"/>
      <c r="C312" s="714" t="s">
        <v>1737</v>
      </c>
      <c r="D312" s="714">
        <v>70</v>
      </c>
      <c r="E312" s="714" t="s">
        <v>1728</v>
      </c>
      <c r="F312" s="1104"/>
      <c r="G312" s="1048"/>
      <c r="H312" s="1100"/>
      <c r="I312" s="717">
        <f>191236-38536</f>
        <v>152700</v>
      </c>
      <c r="J312" s="717">
        <f>127490-6464</f>
        <v>121026</v>
      </c>
      <c r="K312" s="717">
        <f>I312+J312</f>
        <v>273726</v>
      </c>
    </row>
    <row r="313" spans="1:11" s="510" customFormat="1" ht="74.25" hidden="1" customHeight="1">
      <c r="A313" s="1020" t="s">
        <v>2464</v>
      </c>
      <c r="B313" s="1022"/>
      <c r="C313" s="714" t="s">
        <v>1544</v>
      </c>
      <c r="D313" s="714"/>
      <c r="E313" s="714" t="s">
        <v>1544</v>
      </c>
      <c r="F313" s="1104"/>
      <c r="G313" s="1048"/>
      <c r="H313" s="1100"/>
      <c r="I313" s="717">
        <f t="shared" si="10"/>
        <v>13800</v>
      </c>
      <c r="J313" s="717">
        <f t="shared" si="11"/>
        <v>9200</v>
      </c>
      <c r="K313" s="717">
        <v>23000</v>
      </c>
    </row>
    <row r="314" spans="1:11" s="510" customFormat="1" ht="74.25" hidden="1" customHeight="1">
      <c r="A314" s="1020" t="s">
        <v>1776</v>
      </c>
      <c r="B314" s="1022"/>
      <c r="C314" s="714" t="s">
        <v>1738</v>
      </c>
      <c r="D314" s="714">
        <v>20</v>
      </c>
      <c r="E314" s="714" t="s">
        <v>1728</v>
      </c>
      <c r="F314" s="1044" t="s">
        <v>2240</v>
      </c>
      <c r="G314" s="1048"/>
      <c r="H314" s="1100"/>
      <c r="I314" s="717">
        <f t="shared" si="10"/>
        <v>5700</v>
      </c>
      <c r="J314" s="717">
        <f t="shared" si="11"/>
        <v>3800</v>
      </c>
      <c r="K314" s="717">
        <v>9500</v>
      </c>
    </row>
    <row r="315" spans="1:11" s="510" customFormat="1" ht="74.25" hidden="1" customHeight="1">
      <c r="A315" s="1020" t="s">
        <v>1777</v>
      </c>
      <c r="B315" s="1022"/>
      <c r="C315" s="714" t="s">
        <v>1739</v>
      </c>
      <c r="D315" s="714">
        <v>12</v>
      </c>
      <c r="E315" s="714" t="s">
        <v>1728</v>
      </c>
      <c r="F315" s="1046"/>
      <c r="G315" s="1049"/>
      <c r="H315" s="1101"/>
      <c r="I315" s="717">
        <f t="shared" si="10"/>
        <v>191064</v>
      </c>
      <c r="J315" s="717">
        <f t="shared" si="11"/>
        <v>127376</v>
      </c>
      <c r="K315" s="717">
        <v>318440</v>
      </c>
    </row>
    <row r="316" spans="1:11" s="510" customFormat="1" ht="21.75" hidden="1" customHeight="1">
      <c r="A316" s="796"/>
      <c r="B316" s="797"/>
      <c r="C316" s="714"/>
      <c r="D316" s="714"/>
      <c r="E316" s="714"/>
      <c r="F316" s="798"/>
      <c r="G316" s="800"/>
      <c r="H316" s="799"/>
      <c r="I316" s="717"/>
      <c r="J316" s="717"/>
      <c r="K316" s="717"/>
    </row>
    <row r="317" spans="1:11" s="510" customFormat="1" ht="74.25" hidden="1" customHeight="1">
      <c r="A317" s="1008" t="s">
        <v>2478</v>
      </c>
      <c r="B317" s="1010"/>
      <c r="C317" s="818"/>
      <c r="D317" s="818"/>
      <c r="E317" s="818"/>
      <c r="F317" s="819"/>
      <c r="G317" s="815"/>
      <c r="H317" s="816"/>
      <c r="I317" s="817">
        <v>23881</v>
      </c>
      <c r="J317" s="817"/>
      <c r="K317" s="817">
        <f t="shared" ref="K317:K323" si="12">I317+J317</f>
        <v>23881</v>
      </c>
    </row>
    <row r="318" spans="1:11" s="510" customFormat="1" ht="74.25" hidden="1" customHeight="1">
      <c r="A318" s="1096" t="s">
        <v>2477</v>
      </c>
      <c r="B318" s="1097"/>
      <c r="C318" s="814"/>
      <c r="D318" s="814"/>
      <c r="E318" s="814"/>
      <c r="F318" s="820"/>
      <c r="G318" s="815"/>
      <c r="H318" s="816"/>
      <c r="I318" s="817">
        <v>4482</v>
      </c>
      <c r="J318" s="817"/>
      <c r="K318" s="817">
        <f t="shared" si="12"/>
        <v>4482</v>
      </c>
    </row>
    <row r="319" spans="1:11" ht="74.25" hidden="1" customHeight="1">
      <c r="A319" s="1011" t="s">
        <v>481</v>
      </c>
      <c r="B319" s="1013"/>
      <c r="C319" s="504"/>
      <c r="D319" s="709"/>
      <c r="E319" s="709"/>
      <c r="F319" s="708"/>
      <c r="G319" s="709"/>
      <c r="H319" s="710"/>
      <c r="I319" s="545">
        <f>SUM(I320:I321)</f>
        <v>184981</v>
      </c>
      <c r="J319" s="545">
        <f>SUM(J320:J321)</f>
        <v>122283</v>
      </c>
      <c r="K319" s="545">
        <f t="shared" si="12"/>
        <v>307264</v>
      </c>
    </row>
    <row r="320" spans="1:11" s="510" customFormat="1" ht="74.25" hidden="1" customHeight="1">
      <c r="A320" s="1020" t="s">
        <v>1778</v>
      </c>
      <c r="B320" s="1022"/>
      <c r="C320" s="714" t="s">
        <v>1756</v>
      </c>
      <c r="D320" s="714">
        <v>200</v>
      </c>
      <c r="E320" s="714" t="s">
        <v>1731</v>
      </c>
      <c r="F320" s="777" t="s">
        <v>2232</v>
      </c>
      <c r="G320" s="713" t="s">
        <v>1321</v>
      </c>
      <c r="H320" s="794" t="s">
        <v>2451</v>
      </c>
      <c r="I320" s="717">
        <v>177672</v>
      </c>
      <c r="J320" s="717">
        <v>122283</v>
      </c>
      <c r="K320" s="717">
        <f t="shared" si="12"/>
        <v>299955</v>
      </c>
    </row>
    <row r="321" spans="1:11" s="510" customFormat="1" ht="74.25" hidden="1" customHeight="1">
      <c r="A321" s="1008" t="s">
        <v>2476</v>
      </c>
      <c r="B321" s="1010"/>
      <c r="C321" s="818"/>
      <c r="D321" s="818"/>
      <c r="E321" s="818"/>
      <c r="F321" s="810"/>
      <c r="G321" s="812"/>
      <c r="H321" s="812"/>
      <c r="I321" s="817">
        <v>7309</v>
      </c>
      <c r="J321" s="817"/>
      <c r="K321" s="817">
        <f t="shared" si="12"/>
        <v>7309</v>
      </c>
    </row>
    <row r="322" spans="1:11" ht="74.25" hidden="1" customHeight="1">
      <c r="A322" s="1011" t="s">
        <v>1248</v>
      </c>
      <c r="B322" s="1107"/>
      <c r="C322" s="504"/>
      <c r="D322" s="709"/>
      <c r="E322" s="709"/>
      <c r="F322" s="708"/>
      <c r="G322" s="709"/>
      <c r="H322" s="710"/>
      <c r="I322" s="545">
        <f>SUM(I323)</f>
        <v>4643</v>
      </c>
      <c r="J322" s="545">
        <f>SUM(J323)</f>
        <v>3195</v>
      </c>
      <c r="K322" s="545">
        <f t="shared" si="12"/>
        <v>7838</v>
      </c>
    </row>
    <row r="323" spans="1:11" s="510" customFormat="1" ht="74.25" hidden="1" customHeight="1">
      <c r="A323" s="1020" t="s">
        <v>1319</v>
      </c>
      <c r="B323" s="1022"/>
      <c r="C323" s="714" t="s">
        <v>1544</v>
      </c>
      <c r="D323" s="714"/>
      <c r="E323" s="714" t="s">
        <v>1544</v>
      </c>
      <c r="F323" s="777" t="s">
        <v>2233</v>
      </c>
      <c r="G323" s="713" t="s">
        <v>1321</v>
      </c>
      <c r="H323" s="794" t="s">
        <v>2447</v>
      </c>
      <c r="I323" s="717">
        <v>4643</v>
      </c>
      <c r="J323" s="717">
        <v>3195</v>
      </c>
      <c r="K323" s="717">
        <f t="shared" si="12"/>
        <v>7838</v>
      </c>
    </row>
    <row r="324" spans="1:11" ht="48" hidden="1" customHeight="1">
      <c r="A324" s="1041" t="s">
        <v>2455</v>
      </c>
      <c r="B324" s="1041"/>
      <c r="C324" s="1042"/>
      <c r="D324" s="1042"/>
      <c r="E324" s="1042"/>
      <c r="F324" s="1042"/>
      <c r="G324" s="1042"/>
      <c r="H324" s="1042"/>
      <c r="I324" s="1042"/>
      <c r="J324" s="27"/>
      <c r="K324" s="27"/>
    </row>
    <row r="325" spans="1:11" ht="42" hidden="1" customHeight="1">
      <c r="A325" s="1041" t="s">
        <v>2456</v>
      </c>
      <c r="B325" s="1041"/>
      <c r="C325" s="1042"/>
      <c r="D325" s="1042"/>
      <c r="E325" s="1042"/>
      <c r="F325" s="1042"/>
      <c r="G325" s="1042"/>
      <c r="H325" s="1042"/>
      <c r="I325" s="1042"/>
      <c r="J325" s="27"/>
      <c r="K325" s="27"/>
    </row>
    <row r="326" spans="1:11" s="743" customFormat="1" ht="36.75" hidden="1" customHeight="1">
      <c r="A326" s="1135"/>
      <c r="B326" s="1136"/>
      <c r="C326" s="738"/>
      <c r="D326" s="738"/>
      <c r="E326" s="739"/>
      <c r="F326" s="740"/>
      <c r="G326" s="741"/>
      <c r="H326" s="741"/>
      <c r="I326" s="742"/>
      <c r="J326" s="742"/>
      <c r="K326" s="742"/>
    </row>
    <row r="327" spans="1:11" ht="66" hidden="1" customHeight="1">
      <c r="A327" s="1031" t="s">
        <v>37</v>
      </c>
      <c r="B327" s="1033"/>
      <c r="C327" s="1037" t="s">
        <v>178</v>
      </c>
      <c r="D327" s="1037" t="s">
        <v>179</v>
      </c>
      <c r="E327" s="1037" t="s">
        <v>1521</v>
      </c>
      <c r="F327" s="1037" t="s">
        <v>14</v>
      </c>
      <c r="G327" s="1037" t="s">
        <v>1515</v>
      </c>
      <c r="H327" s="1037" t="s">
        <v>16</v>
      </c>
      <c r="I327" s="1039" t="s">
        <v>1490</v>
      </c>
      <c r="J327" s="1039" t="s">
        <v>2203</v>
      </c>
      <c r="K327" s="1037" t="s">
        <v>200</v>
      </c>
    </row>
    <row r="328" spans="1:11" s="500" customFormat="1" ht="30" hidden="1">
      <c r="A328" s="1034"/>
      <c r="B328" s="1036"/>
      <c r="C328" s="1038"/>
      <c r="D328" s="1038"/>
      <c r="E328" s="1038"/>
      <c r="F328" s="1038"/>
      <c r="G328" s="1038"/>
      <c r="H328" s="1038"/>
      <c r="I328" s="1039"/>
      <c r="J328" s="1039"/>
      <c r="K328" s="1038"/>
    </row>
    <row r="329" spans="1:11" s="500" customFormat="1" ht="74.25" hidden="1" customHeight="1">
      <c r="A329" s="1102" t="s">
        <v>1602</v>
      </c>
      <c r="B329" s="1103"/>
      <c r="C329" s="729"/>
      <c r="D329" s="729"/>
      <c r="E329" s="726"/>
      <c r="F329" s="727"/>
      <c r="G329" s="728"/>
      <c r="H329" s="728"/>
      <c r="I329" s="642">
        <f>I330+I332+I338</f>
        <v>711751.8</v>
      </c>
      <c r="J329" s="642">
        <f>J330+J332+J338</f>
        <v>474501.2</v>
      </c>
      <c r="K329" s="642">
        <f>I329+J329</f>
        <v>1186253</v>
      </c>
    </row>
    <row r="330" spans="1:11" s="579" customFormat="1" ht="73.5" hidden="1" customHeight="1">
      <c r="A330" s="1011" t="s">
        <v>2251</v>
      </c>
      <c r="B330" s="1012"/>
      <c r="C330" s="1012"/>
      <c r="D330" s="1012"/>
      <c r="E330" s="1012"/>
      <c r="F330" s="1013"/>
      <c r="G330" s="709"/>
      <c r="H330" s="710"/>
      <c r="I330" s="545">
        <f>I331</f>
        <v>531000</v>
      </c>
      <c r="J330" s="545">
        <f>J331</f>
        <v>354000</v>
      </c>
      <c r="K330" s="545">
        <f>I330+J330</f>
        <v>885000</v>
      </c>
    </row>
    <row r="331" spans="1:11" s="510" customFormat="1" ht="74.25" hidden="1" customHeight="1">
      <c r="A331" s="1020" t="s">
        <v>1603</v>
      </c>
      <c r="B331" s="1022"/>
      <c r="C331" s="714" t="s">
        <v>147</v>
      </c>
      <c r="D331" s="714">
        <v>324</v>
      </c>
      <c r="E331" s="725" t="s">
        <v>1573</v>
      </c>
      <c r="F331" s="780" t="s">
        <v>2253</v>
      </c>
      <c r="G331" s="711">
        <v>8100</v>
      </c>
      <c r="H331" s="783" t="s">
        <v>2273</v>
      </c>
      <c r="I331" s="717">
        <f>K331/100*60</f>
        <v>531000</v>
      </c>
      <c r="J331" s="717">
        <f>K331/100*40</f>
        <v>354000</v>
      </c>
      <c r="K331" s="717">
        <v>885000</v>
      </c>
    </row>
    <row r="332" spans="1:11" ht="75" hidden="1" customHeight="1">
      <c r="A332" s="1011" t="s">
        <v>1541</v>
      </c>
      <c r="B332" s="1013"/>
      <c r="C332" s="709"/>
      <c r="D332" s="709"/>
      <c r="E332" s="709"/>
      <c r="F332" s="708"/>
      <c r="G332" s="709"/>
      <c r="H332" s="710"/>
      <c r="I332" s="545">
        <f>SUM(I333:I337)</f>
        <v>173551.8</v>
      </c>
      <c r="J332" s="545">
        <f>SUM(J333:J337)</f>
        <v>115701.2</v>
      </c>
      <c r="K332" s="545">
        <f>I332+J332</f>
        <v>289253</v>
      </c>
    </row>
    <row r="333" spans="1:11" s="510" customFormat="1" ht="74.25" hidden="1" customHeight="1">
      <c r="A333" s="1020" t="s">
        <v>1604</v>
      </c>
      <c r="B333" s="1022"/>
      <c r="C333" s="714" t="s">
        <v>1608</v>
      </c>
      <c r="D333" s="714">
        <v>10</v>
      </c>
      <c r="E333" s="725" t="s">
        <v>1609</v>
      </c>
      <c r="F333" s="1044" t="s">
        <v>2229</v>
      </c>
      <c r="G333" s="1047">
        <v>8100</v>
      </c>
      <c r="H333" s="1099" t="s">
        <v>2273</v>
      </c>
      <c r="I333" s="717">
        <f>K333/100*60</f>
        <v>86601</v>
      </c>
      <c r="J333" s="717">
        <f>K333/100*40</f>
        <v>57734</v>
      </c>
      <c r="K333" s="717">
        <v>144335</v>
      </c>
    </row>
    <row r="334" spans="1:11" s="510" customFormat="1" ht="75" hidden="1" customHeight="1">
      <c r="A334" s="1020" t="s">
        <v>1605</v>
      </c>
      <c r="B334" s="1022"/>
      <c r="C334" s="714" t="s">
        <v>1610</v>
      </c>
      <c r="D334" s="714">
        <v>4</v>
      </c>
      <c r="E334" s="725" t="s">
        <v>1611</v>
      </c>
      <c r="F334" s="1046"/>
      <c r="G334" s="1048"/>
      <c r="H334" s="1100"/>
      <c r="I334" s="717">
        <f>K334/100*60</f>
        <v>4800</v>
      </c>
      <c r="J334" s="717">
        <f>K334/100*40</f>
        <v>3200</v>
      </c>
      <c r="K334" s="717">
        <v>8000</v>
      </c>
    </row>
    <row r="335" spans="1:11" s="510" customFormat="1" ht="75" hidden="1" customHeight="1">
      <c r="A335" s="1020" t="s">
        <v>1606</v>
      </c>
      <c r="B335" s="1022"/>
      <c r="C335" s="714" t="s">
        <v>1612</v>
      </c>
      <c r="D335" s="744">
        <v>20</v>
      </c>
      <c r="E335" s="725" t="s">
        <v>1613</v>
      </c>
      <c r="F335" s="776" t="s">
        <v>2230</v>
      </c>
      <c r="G335" s="1048"/>
      <c r="H335" s="1100"/>
      <c r="I335" s="717">
        <f>K335/100*60</f>
        <v>42000</v>
      </c>
      <c r="J335" s="717">
        <f>K335/100*40</f>
        <v>28000</v>
      </c>
      <c r="K335" s="717">
        <v>70000</v>
      </c>
    </row>
    <row r="336" spans="1:11" s="510" customFormat="1" ht="75" hidden="1" customHeight="1">
      <c r="A336" s="1020" t="s">
        <v>1607</v>
      </c>
      <c r="B336" s="1022"/>
      <c r="C336" s="714" t="s">
        <v>1614</v>
      </c>
      <c r="D336" s="714">
        <v>15</v>
      </c>
      <c r="E336" s="725" t="s">
        <v>1615</v>
      </c>
      <c r="F336" s="1044" t="s">
        <v>2231</v>
      </c>
      <c r="G336" s="1048"/>
      <c r="H336" s="1100"/>
      <c r="I336" s="717">
        <f>K336/100*60</f>
        <v>30000</v>
      </c>
      <c r="J336" s="717">
        <f>K336/100*40</f>
        <v>20000</v>
      </c>
      <c r="K336" s="717">
        <v>50000</v>
      </c>
    </row>
    <row r="337" spans="1:11" s="510" customFormat="1" ht="75" hidden="1" customHeight="1">
      <c r="A337" s="1020" t="s">
        <v>1496</v>
      </c>
      <c r="B337" s="1022"/>
      <c r="C337" s="714" t="s">
        <v>1616</v>
      </c>
      <c r="D337" s="714">
        <v>30</v>
      </c>
      <c r="E337" s="725" t="s">
        <v>1615</v>
      </c>
      <c r="F337" s="1046"/>
      <c r="G337" s="1048"/>
      <c r="H337" s="1100"/>
      <c r="I337" s="717">
        <f>K337/100*60</f>
        <v>10150.800000000001</v>
      </c>
      <c r="J337" s="717">
        <f>K337/100*40</f>
        <v>6767.2000000000007</v>
      </c>
      <c r="K337" s="717">
        <v>16918</v>
      </c>
    </row>
    <row r="338" spans="1:11" ht="74.25" hidden="1" customHeight="1">
      <c r="A338" s="1011" t="s">
        <v>278</v>
      </c>
      <c r="B338" s="1013"/>
      <c r="C338" s="504"/>
      <c r="D338" s="709"/>
      <c r="E338" s="709"/>
      <c r="F338" s="708"/>
      <c r="G338" s="709"/>
      <c r="H338" s="710"/>
      <c r="I338" s="545">
        <f>SUM(I339)</f>
        <v>7200</v>
      </c>
      <c r="J338" s="545">
        <f>SUM(J339)</f>
        <v>4800</v>
      </c>
      <c r="K338" s="545">
        <f>I338+J338</f>
        <v>12000</v>
      </c>
    </row>
    <row r="339" spans="1:11" s="510" customFormat="1" ht="74.25" hidden="1" customHeight="1">
      <c r="A339" s="1020" t="s">
        <v>1586</v>
      </c>
      <c r="B339" s="1022"/>
      <c r="C339" s="714" t="s">
        <v>18</v>
      </c>
      <c r="D339" s="714">
        <v>50</v>
      </c>
      <c r="E339" s="725" t="s">
        <v>1617</v>
      </c>
      <c r="F339" s="777" t="s">
        <v>2234</v>
      </c>
      <c r="G339" s="711">
        <v>8100</v>
      </c>
      <c r="H339" s="794" t="s">
        <v>2445</v>
      </c>
      <c r="I339" s="717">
        <f>K339/100*60</f>
        <v>7200</v>
      </c>
      <c r="J339" s="717">
        <f>K339/100*40</f>
        <v>4800</v>
      </c>
      <c r="K339" s="717">
        <v>12000</v>
      </c>
    </row>
    <row r="340" spans="1:11" s="510" customFormat="1" ht="74.25" hidden="1" customHeight="1">
      <c r="A340" s="753"/>
      <c r="B340" s="753"/>
      <c r="C340" s="754"/>
      <c r="D340" s="754"/>
      <c r="E340" s="759"/>
      <c r="F340" s="755"/>
      <c r="G340" s="758"/>
      <c r="H340" s="756"/>
      <c r="I340" s="757"/>
      <c r="J340" s="757"/>
      <c r="K340" s="757"/>
    </row>
    <row r="341" spans="1:11" s="510" customFormat="1" ht="74.25" hidden="1" customHeight="1">
      <c r="A341" s="753"/>
      <c r="B341" s="753"/>
      <c r="C341" s="754"/>
      <c r="D341" s="754"/>
      <c r="E341" s="759"/>
      <c r="F341" s="755"/>
      <c r="G341" s="758"/>
      <c r="H341" s="756"/>
      <c r="I341" s="757"/>
      <c r="J341" s="757"/>
      <c r="K341" s="757"/>
    </row>
    <row r="342" spans="1:11" ht="34.5" hidden="1" customHeight="1">
      <c r="A342" s="1128" t="s">
        <v>51</v>
      </c>
      <c r="B342" s="1128"/>
      <c r="C342" s="1128"/>
      <c r="D342" s="1128"/>
      <c r="E342" s="1128"/>
      <c r="F342" s="1128"/>
      <c r="G342" s="1128"/>
      <c r="H342" s="1128"/>
      <c r="I342" s="1128"/>
      <c r="J342" s="1128"/>
      <c r="K342" s="1128"/>
    </row>
    <row r="343" spans="1:11" ht="30.75" hidden="1" customHeight="1">
      <c r="A343" s="1128" t="s">
        <v>52</v>
      </c>
      <c r="B343" s="1128"/>
      <c r="C343" s="1128"/>
      <c r="D343" s="1128"/>
      <c r="E343" s="1128"/>
      <c r="F343" s="1128"/>
      <c r="G343" s="1128"/>
      <c r="H343" s="1128"/>
      <c r="I343" s="1128"/>
      <c r="J343" s="1128"/>
      <c r="K343" s="1128"/>
    </row>
    <row r="344" spans="1:11" ht="33" hidden="1" customHeight="1">
      <c r="A344" s="1132" t="s">
        <v>50</v>
      </c>
      <c r="B344" s="1132"/>
      <c r="C344" s="1132"/>
      <c r="D344" s="1132"/>
      <c r="E344" s="1132"/>
      <c r="F344" s="1132"/>
      <c r="G344" s="1132"/>
      <c r="H344" s="1132"/>
      <c r="I344" s="1132"/>
      <c r="J344" s="1132"/>
      <c r="K344" s="1132"/>
    </row>
    <row r="345" spans="1:11" ht="33" hidden="1" customHeight="1">
      <c r="A345" s="154"/>
      <c r="B345" s="154"/>
      <c r="C345" s="154"/>
      <c r="D345" s="154"/>
      <c r="E345" s="154"/>
      <c r="F345" s="154"/>
      <c r="G345" s="707"/>
      <c r="H345" s="707"/>
      <c r="I345" s="707"/>
      <c r="J345" s="707"/>
      <c r="K345" s="707"/>
    </row>
    <row r="346" spans="1:11" ht="35.25" hidden="1">
      <c r="A346" s="1128" t="s">
        <v>1489</v>
      </c>
      <c r="B346" s="1128"/>
      <c r="C346" s="1128"/>
      <c r="D346" s="1128"/>
      <c r="E346" s="1128"/>
      <c r="F346" s="1128"/>
      <c r="G346" s="1128"/>
      <c r="H346" s="1128"/>
      <c r="I346" s="1128"/>
      <c r="J346" s="1128"/>
      <c r="K346" s="1128"/>
    </row>
    <row r="347" spans="1:11" s="620" customFormat="1" ht="33" hidden="1">
      <c r="A347" s="65"/>
      <c r="B347" s="65"/>
      <c r="C347" s="65"/>
      <c r="D347" s="65"/>
      <c r="E347" s="65"/>
      <c r="F347" s="65"/>
      <c r="G347" s="68"/>
      <c r="H347" s="68"/>
      <c r="I347" s="68"/>
      <c r="J347" s="68"/>
      <c r="K347" s="68"/>
    </row>
    <row r="348" spans="1:11" ht="20.100000000000001" hidden="1" customHeight="1">
      <c r="A348" s="65"/>
      <c r="B348" s="65"/>
      <c r="C348" s="65"/>
      <c r="D348" s="65"/>
      <c r="E348" s="65"/>
      <c r="F348" s="65"/>
      <c r="G348" s="68"/>
      <c r="H348" s="68"/>
      <c r="I348" s="68"/>
      <c r="J348" s="68"/>
      <c r="K348" s="68"/>
    </row>
    <row r="349" spans="1:11" ht="20.100000000000001" hidden="1" customHeight="1">
      <c r="A349" s="979"/>
      <c r="B349" s="979"/>
      <c r="C349" s="979"/>
      <c r="D349" s="979"/>
      <c r="E349" s="979"/>
      <c r="F349" s="979"/>
      <c r="G349" s="979"/>
      <c r="H349" s="979"/>
      <c r="I349" s="979"/>
      <c r="J349" s="979"/>
      <c r="K349" s="979"/>
    </row>
    <row r="350" spans="1:11" ht="45.75" hidden="1" customHeight="1">
      <c r="A350" s="1030" t="s">
        <v>1381</v>
      </c>
      <c r="B350" s="1030"/>
      <c r="C350" s="1030"/>
      <c r="D350" s="1030"/>
      <c r="E350" s="1030"/>
      <c r="F350" s="1030"/>
      <c r="G350" s="1030"/>
      <c r="H350" s="1030"/>
      <c r="I350" s="1030"/>
      <c r="J350" s="1030"/>
      <c r="K350" s="1030"/>
    </row>
    <row r="351" spans="1:11" ht="66" hidden="1" customHeight="1">
      <c r="A351" s="1031" t="s">
        <v>37</v>
      </c>
      <c r="B351" s="1033"/>
      <c r="C351" s="1037" t="s">
        <v>178</v>
      </c>
      <c r="D351" s="1037" t="s">
        <v>179</v>
      </c>
      <c r="E351" s="1037" t="s">
        <v>1521</v>
      </c>
      <c r="F351" s="1037" t="s">
        <v>14</v>
      </c>
      <c r="G351" s="1037" t="s">
        <v>1515</v>
      </c>
      <c r="H351" s="1037" t="s">
        <v>16</v>
      </c>
      <c r="I351" s="1039" t="s">
        <v>1490</v>
      </c>
      <c r="J351" s="1039" t="s">
        <v>2203</v>
      </c>
      <c r="K351" s="1037" t="s">
        <v>200</v>
      </c>
    </row>
    <row r="352" spans="1:11" s="500" customFormat="1" ht="30" hidden="1">
      <c r="A352" s="1034"/>
      <c r="B352" s="1036"/>
      <c r="C352" s="1038"/>
      <c r="D352" s="1038"/>
      <c r="E352" s="1038"/>
      <c r="F352" s="1038"/>
      <c r="G352" s="1038"/>
      <c r="H352" s="1038"/>
      <c r="I352" s="1039"/>
      <c r="J352" s="1039"/>
      <c r="K352" s="1038"/>
    </row>
    <row r="353" spans="1:11" s="500" customFormat="1" ht="74.25" hidden="1" customHeight="1">
      <c r="A353" s="1102" t="s">
        <v>1542</v>
      </c>
      <c r="B353" s="1103"/>
      <c r="C353" s="729"/>
      <c r="D353" s="729"/>
      <c r="E353" s="726"/>
      <c r="F353" s="727"/>
      <c r="G353" s="728"/>
      <c r="H353" s="728"/>
      <c r="I353" s="642">
        <f>I354+I358</f>
        <v>284048.40000000002</v>
      </c>
      <c r="J353" s="642">
        <f>J354+J358</f>
        <v>189365.59999999998</v>
      </c>
      <c r="K353" s="642">
        <f>I353+J353</f>
        <v>473414</v>
      </c>
    </row>
    <row r="354" spans="1:11" ht="75" hidden="1" customHeight="1">
      <c r="A354" s="1011" t="s">
        <v>1541</v>
      </c>
      <c r="B354" s="1013"/>
      <c r="C354" s="709"/>
      <c r="D354" s="709"/>
      <c r="E354" s="709"/>
      <c r="F354" s="708"/>
      <c r="G354" s="709"/>
      <c r="H354" s="710"/>
      <c r="I354" s="545">
        <f>SUM(I355:I357)</f>
        <v>272048.40000000002</v>
      </c>
      <c r="J354" s="545">
        <f>SUM(J355:J357)</f>
        <v>181365.59999999998</v>
      </c>
      <c r="K354" s="545">
        <f>I354+J354</f>
        <v>453414</v>
      </c>
    </row>
    <row r="355" spans="1:11" s="510" customFormat="1" ht="74.25" hidden="1" customHeight="1">
      <c r="A355" s="1020" t="s">
        <v>1569</v>
      </c>
      <c r="B355" s="1022"/>
      <c r="C355" s="714" t="s">
        <v>1544</v>
      </c>
      <c r="D355" s="714"/>
      <c r="E355" s="714" t="s">
        <v>1544</v>
      </c>
      <c r="F355" s="776" t="s">
        <v>2229</v>
      </c>
      <c r="G355" s="1047">
        <v>8100</v>
      </c>
      <c r="H355" s="1099" t="s">
        <v>2273</v>
      </c>
      <c r="I355" s="717">
        <f>K355/100*60</f>
        <v>54000</v>
      </c>
      <c r="J355" s="717">
        <f>K355/100*40</f>
        <v>36000</v>
      </c>
      <c r="K355" s="717">
        <v>90000</v>
      </c>
    </row>
    <row r="356" spans="1:11" s="510" customFormat="1" ht="75" hidden="1" customHeight="1">
      <c r="A356" s="1020" t="s">
        <v>1546</v>
      </c>
      <c r="B356" s="1022"/>
      <c r="C356" s="714" t="s">
        <v>1544</v>
      </c>
      <c r="D356" s="714"/>
      <c r="E356" s="714" t="s">
        <v>1544</v>
      </c>
      <c r="F356" s="776" t="s">
        <v>2230</v>
      </c>
      <c r="G356" s="1048"/>
      <c r="H356" s="1100"/>
      <c r="I356" s="717">
        <f>K356/100*60</f>
        <v>75600</v>
      </c>
      <c r="J356" s="717">
        <f>K356/100*40</f>
        <v>50400</v>
      </c>
      <c r="K356" s="717">
        <v>126000</v>
      </c>
    </row>
    <row r="357" spans="1:11" s="510" customFormat="1" ht="75" hidden="1" customHeight="1">
      <c r="A357" s="1020" t="s">
        <v>1570</v>
      </c>
      <c r="B357" s="1022"/>
      <c r="C357" s="714" t="s">
        <v>1544</v>
      </c>
      <c r="D357" s="714"/>
      <c r="E357" s="714" t="s">
        <v>1544</v>
      </c>
      <c r="F357" s="776" t="s">
        <v>2231</v>
      </c>
      <c r="G357" s="1048"/>
      <c r="H357" s="1100"/>
      <c r="I357" s="717">
        <f>K357/100*60</f>
        <v>142448.4</v>
      </c>
      <c r="J357" s="717">
        <f>K357/100*40</f>
        <v>94965.599999999991</v>
      </c>
      <c r="K357" s="717">
        <v>237414</v>
      </c>
    </row>
    <row r="358" spans="1:11" ht="73.5" hidden="1" customHeight="1">
      <c r="A358" s="1011" t="s">
        <v>312</v>
      </c>
      <c r="B358" s="1013"/>
      <c r="C358" s="709"/>
      <c r="D358" s="709"/>
      <c r="E358" s="709"/>
      <c r="F358" s="708"/>
      <c r="G358" s="709"/>
      <c r="H358" s="710"/>
      <c r="I358" s="545">
        <f>I359</f>
        <v>12000</v>
      </c>
      <c r="J358" s="545">
        <f>J359</f>
        <v>8000</v>
      </c>
      <c r="K358" s="545">
        <f>I358+J358</f>
        <v>20000</v>
      </c>
    </row>
    <row r="359" spans="1:11" s="510" customFormat="1" ht="74.25" hidden="1" customHeight="1">
      <c r="A359" s="1020" t="s">
        <v>1543</v>
      </c>
      <c r="B359" s="1022"/>
      <c r="C359" s="714" t="s">
        <v>1544</v>
      </c>
      <c r="D359" s="714"/>
      <c r="E359" s="714" t="s">
        <v>1544</v>
      </c>
      <c r="F359" s="777" t="s">
        <v>2224</v>
      </c>
      <c r="G359" s="711">
        <v>8100</v>
      </c>
      <c r="H359" s="783" t="s">
        <v>2273</v>
      </c>
      <c r="I359" s="717">
        <f>K359/100*60</f>
        <v>12000</v>
      </c>
      <c r="J359" s="717">
        <f>K359/100*40</f>
        <v>8000</v>
      </c>
      <c r="K359" s="717">
        <v>20000</v>
      </c>
    </row>
    <row r="360" spans="1:11" s="743" customFormat="1" ht="36.75" hidden="1" customHeight="1">
      <c r="A360" s="1135"/>
      <c r="B360" s="1136"/>
      <c r="C360" s="738"/>
      <c r="D360" s="738"/>
      <c r="E360" s="739"/>
      <c r="F360" s="740"/>
      <c r="G360" s="741"/>
      <c r="H360" s="741"/>
      <c r="I360" s="742"/>
      <c r="J360" s="742"/>
      <c r="K360" s="742"/>
    </row>
    <row r="361" spans="1:11" ht="66" hidden="1" customHeight="1">
      <c r="A361" s="1031" t="s">
        <v>37</v>
      </c>
      <c r="B361" s="1033"/>
      <c r="C361" s="1037" t="s">
        <v>178</v>
      </c>
      <c r="D361" s="1037" t="s">
        <v>179</v>
      </c>
      <c r="E361" s="1037" t="s">
        <v>1521</v>
      </c>
      <c r="F361" s="1037" t="s">
        <v>14</v>
      </c>
      <c r="G361" s="1037" t="s">
        <v>1515</v>
      </c>
      <c r="H361" s="1037" t="s">
        <v>16</v>
      </c>
      <c r="I361" s="1039" t="s">
        <v>1490</v>
      </c>
      <c r="J361" s="1039" t="s">
        <v>2203</v>
      </c>
      <c r="K361" s="1037" t="s">
        <v>200</v>
      </c>
    </row>
    <row r="362" spans="1:11" s="500" customFormat="1" ht="30" hidden="1">
      <c r="A362" s="1034"/>
      <c r="B362" s="1036"/>
      <c r="C362" s="1038"/>
      <c r="D362" s="1038"/>
      <c r="E362" s="1038"/>
      <c r="F362" s="1038"/>
      <c r="G362" s="1038"/>
      <c r="H362" s="1038"/>
      <c r="I362" s="1039"/>
      <c r="J362" s="1039"/>
      <c r="K362" s="1038"/>
    </row>
    <row r="363" spans="1:11" s="500" customFormat="1" ht="74.25" hidden="1" customHeight="1">
      <c r="A363" s="1102" t="s">
        <v>1633</v>
      </c>
      <c r="B363" s="1103"/>
      <c r="C363" s="729"/>
      <c r="D363" s="729"/>
      <c r="E363" s="726"/>
      <c r="F363" s="727"/>
      <c r="G363" s="728"/>
      <c r="H363" s="728"/>
      <c r="I363" s="642">
        <f>I364+I366+I377+I379</f>
        <v>229105.19999999998</v>
      </c>
      <c r="J363" s="642">
        <f>J364+J366+J377+J379</f>
        <v>152736.79999999999</v>
      </c>
      <c r="K363" s="642">
        <f>I363+J363</f>
        <v>381842</v>
      </c>
    </row>
    <row r="364" spans="1:11" s="579" customFormat="1" ht="73.5" hidden="1" customHeight="1">
      <c r="A364" s="1011" t="s">
        <v>2251</v>
      </c>
      <c r="B364" s="1012"/>
      <c r="C364" s="1012"/>
      <c r="D364" s="1012"/>
      <c r="E364" s="1012"/>
      <c r="F364" s="1013"/>
      <c r="G364" s="709"/>
      <c r="H364" s="710"/>
      <c r="I364" s="545">
        <f>I365</f>
        <v>23547</v>
      </c>
      <c r="J364" s="545">
        <f>J365</f>
        <v>15698</v>
      </c>
      <c r="K364" s="545">
        <f>I364+J364</f>
        <v>39245</v>
      </c>
    </row>
    <row r="365" spans="1:11" s="510" customFormat="1" ht="74.25" hidden="1" customHeight="1">
      <c r="A365" s="1020" t="s">
        <v>1634</v>
      </c>
      <c r="B365" s="1022"/>
      <c r="C365" s="714" t="s">
        <v>147</v>
      </c>
      <c r="D365" s="714">
        <v>324</v>
      </c>
      <c r="E365" s="725" t="s">
        <v>1573</v>
      </c>
      <c r="F365" s="780" t="s">
        <v>2254</v>
      </c>
      <c r="G365" s="711">
        <v>8100</v>
      </c>
      <c r="H365" s="783" t="s">
        <v>2273</v>
      </c>
      <c r="I365" s="717">
        <f>K365/100*60</f>
        <v>23547</v>
      </c>
      <c r="J365" s="717">
        <f>K365/100*40</f>
        <v>15698</v>
      </c>
      <c r="K365" s="717">
        <v>39245</v>
      </c>
    </row>
    <row r="366" spans="1:11" ht="75" hidden="1" customHeight="1">
      <c r="A366" s="1011" t="s">
        <v>1541</v>
      </c>
      <c r="B366" s="1013"/>
      <c r="C366" s="709"/>
      <c r="D366" s="709"/>
      <c r="E366" s="709"/>
      <c r="F366" s="708"/>
      <c r="G366" s="709"/>
      <c r="H366" s="710"/>
      <c r="I366" s="545">
        <f>SUM(I367:I376)</f>
        <v>196858.19999999998</v>
      </c>
      <c r="J366" s="545">
        <f>SUM(J367:J376)</f>
        <v>131238.79999999999</v>
      </c>
      <c r="K366" s="545">
        <f>I366+J366</f>
        <v>328097</v>
      </c>
    </row>
    <row r="367" spans="1:11" s="510" customFormat="1" ht="74.25" hidden="1" customHeight="1">
      <c r="A367" s="1020" t="s">
        <v>1635</v>
      </c>
      <c r="B367" s="1022"/>
      <c r="C367" s="714" t="s">
        <v>1644</v>
      </c>
      <c r="D367" s="714">
        <v>10</v>
      </c>
      <c r="E367" s="725" t="s">
        <v>1645</v>
      </c>
      <c r="F367" s="777" t="s">
        <v>2236</v>
      </c>
      <c r="G367" s="1047">
        <v>8100</v>
      </c>
      <c r="H367" s="1099" t="s">
        <v>2273</v>
      </c>
      <c r="I367" s="717">
        <f t="shared" ref="I367:I376" si="13">K367/100*60</f>
        <v>35712</v>
      </c>
      <c r="J367" s="717">
        <f t="shared" ref="J367:J376" si="14">K367/100*40</f>
        <v>23808</v>
      </c>
      <c r="K367" s="717">
        <v>59520</v>
      </c>
    </row>
    <row r="368" spans="1:11" s="510" customFormat="1" ht="75" hidden="1" customHeight="1">
      <c r="A368" s="1020" t="s">
        <v>1636</v>
      </c>
      <c r="B368" s="1022"/>
      <c r="C368" s="714" t="s">
        <v>1657</v>
      </c>
      <c r="D368" s="714">
        <v>7</v>
      </c>
      <c r="E368" s="725" t="s">
        <v>1646</v>
      </c>
      <c r="F368" s="777" t="s">
        <v>2229</v>
      </c>
      <c r="G368" s="1048"/>
      <c r="H368" s="1100"/>
      <c r="I368" s="717">
        <f t="shared" si="13"/>
        <v>31320</v>
      </c>
      <c r="J368" s="717">
        <f t="shared" si="14"/>
        <v>20880</v>
      </c>
      <c r="K368" s="717">
        <v>52200</v>
      </c>
    </row>
    <row r="369" spans="1:11" s="510" customFormat="1" ht="75" hidden="1" customHeight="1">
      <c r="A369" s="1020" t="s">
        <v>1606</v>
      </c>
      <c r="B369" s="1022"/>
      <c r="C369" s="714" t="s">
        <v>1657</v>
      </c>
      <c r="D369" s="744">
        <v>16</v>
      </c>
      <c r="E369" s="725" t="s">
        <v>1647</v>
      </c>
      <c r="F369" s="1044" t="s">
        <v>2230</v>
      </c>
      <c r="G369" s="1048"/>
      <c r="H369" s="1100"/>
      <c r="I369" s="717">
        <f t="shared" si="13"/>
        <v>9720</v>
      </c>
      <c r="J369" s="717">
        <f t="shared" si="14"/>
        <v>6480</v>
      </c>
      <c r="K369" s="717">
        <v>16200</v>
      </c>
    </row>
    <row r="370" spans="1:11" s="510" customFormat="1" ht="75" hidden="1" customHeight="1">
      <c r="A370" s="1020" t="s">
        <v>1637</v>
      </c>
      <c r="B370" s="1022"/>
      <c r="C370" s="714" t="s">
        <v>1657</v>
      </c>
      <c r="D370" s="714">
        <v>16</v>
      </c>
      <c r="E370" s="725" t="s">
        <v>1648</v>
      </c>
      <c r="F370" s="1045"/>
      <c r="G370" s="1048"/>
      <c r="H370" s="1100"/>
      <c r="I370" s="717">
        <f t="shared" si="13"/>
        <v>4602.8100000000004</v>
      </c>
      <c r="J370" s="717">
        <f t="shared" si="14"/>
        <v>3068.5400000000004</v>
      </c>
      <c r="K370" s="717">
        <v>7671.35</v>
      </c>
    </row>
    <row r="371" spans="1:11" s="510" customFormat="1" ht="75" hidden="1" customHeight="1">
      <c r="A371" s="1020" t="s">
        <v>1638</v>
      </c>
      <c r="B371" s="1022"/>
      <c r="C371" s="714" t="s">
        <v>1649</v>
      </c>
      <c r="D371" s="714">
        <v>3</v>
      </c>
      <c r="E371" s="725" t="s">
        <v>1650</v>
      </c>
      <c r="F371" s="1045"/>
      <c r="G371" s="1048"/>
      <c r="H371" s="1100"/>
      <c r="I371" s="717">
        <f t="shared" si="13"/>
        <v>4320</v>
      </c>
      <c r="J371" s="717">
        <f t="shared" si="14"/>
        <v>2880</v>
      </c>
      <c r="K371" s="717">
        <v>7200</v>
      </c>
    </row>
    <row r="372" spans="1:11" s="510" customFormat="1" ht="75" hidden="1" customHeight="1">
      <c r="A372" s="1020" t="s">
        <v>1639</v>
      </c>
      <c r="B372" s="1022"/>
      <c r="C372" s="714" t="s">
        <v>1651</v>
      </c>
      <c r="D372" s="714">
        <v>8</v>
      </c>
      <c r="E372" s="725" t="s">
        <v>1652</v>
      </c>
      <c r="F372" s="1046"/>
      <c r="G372" s="1048"/>
      <c r="H372" s="1100"/>
      <c r="I372" s="717">
        <f t="shared" si="13"/>
        <v>1890</v>
      </c>
      <c r="J372" s="717">
        <f t="shared" si="14"/>
        <v>1260</v>
      </c>
      <c r="K372" s="717">
        <v>3150</v>
      </c>
    </row>
    <row r="373" spans="1:11" s="510" customFormat="1" ht="75" hidden="1" customHeight="1">
      <c r="A373" s="1020" t="s">
        <v>1640</v>
      </c>
      <c r="B373" s="1022"/>
      <c r="C373" s="714" t="s">
        <v>1658</v>
      </c>
      <c r="D373" s="714">
        <v>80</v>
      </c>
      <c r="E373" s="725" t="s">
        <v>1653</v>
      </c>
      <c r="F373" s="1044" t="s">
        <v>2231</v>
      </c>
      <c r="G373" s="1048"/>
      <c r="H373" s="1100"/>
      <c r="I373" s="717">
        <f t="shared" si="13"/>
        <v>44493.389999999992</v>
      </c>
      <c r="J373" s="717">
        <f t="shared" si="14"/>
        <v>29662.259999999995</v>
      </c>
      <c r="K373" s="717">
        <v>74155.649999999994</v>
      </c>
    </row>
    <row r="374" spans="1:11" s="510" customFormat="1" ht="75" hidden="1" customHeight="1">
      <c r="A374" s="1020" t="s">
        <v>1641</v>
      </c>
      <c r="B374" s="1022"/>
      <c r="C374" s="714" t="s">
        <v>1658</v>
      </c>
      <c r="D374" s="714">
        <v>40</v>
      </c>
      <c r="E374" s="725" t="s">
        <v>1654</v>
      </c>
      <c r="F374" s="1045"/>
      <c r="G374" s="1048"/>
      <c r="H374" s="1100"/>
      <c r="I374" s="717">
        <f t="shared" si="13"/>
        <v>27000</v>
      </c>
      <c r="J374" s="717">
        <f t="shared" si="14"/>
        <v>18000</v>
      </c>
      <c r="K374" s="717">
        <v>45000</v>
      </c>
    </row>
    <row r="375" spans="1:11" s="510" customFormat="1" ht="75" hidden="1" customHeight="1">
      <c r="A375" s="1020" t="s">
        <v>1642</v>
      </c>
      <c r="B375" s="1022"/>
      <c r="C375" s="714" t="s">
        <v>1658</v>
      </c>
      <c r="D375" s="714">
        <v>15</v>
      </c>
      <c r="E375" s="725" t="s">
        <v>1655</v>
      </c>
      <c r="F375" s="1045"/>
      <c r="G375" s="1048"/>
      <c r="H375" s="1100"/>
      <c r="I375" s="717">
        <f t="shared" si="13"/>
        <v>16200</v>
      </c>
      <c r="J375" s="717">
        <f t="shared" si="14"/>
        <v>10800</v>
      </c>
      <c r="K375" s="717">
        <v>27000</v>
      </c>
    </row>
    <row r="376" spans="1:11" s="510" customFormat="1" ht="75" hidden="1" customHeight="1">
      <c r="A376" s="1020" t="s">
        <v>1643</v>
      </c>
      <c r="B376" s="1022"/>
      <c r="C376" s="714" t="s">
        <v>1659</v>
      </c>
      <c r="D376" s="744">
        <v>85</v>
      </c>
      <c r="E376" s="725" t="s">
        <v>1656</v>
      </c>
      <c r="F376" s="1046"/>
      <c r="G376" s="1049"/>
      <c r="H376" s="1101"/>
      <c r="I376" s="717">
        <f t="shared" si="13"/>
        <v>21600</v>
      </c>
      <c r="J376" s="717">
        <f t="shared" si="14"/>
        <v>14400</v>
      </c>
      <c r="K376" s="717">
        <v>36000</v>
      </c>
    </row>
    <row r="377" spans="1:11" ht="74.25" hidden="1" customHeight="1">
      <c r="A377" s="1011" t="s">
        <v>278</v>
      </c>
      <c r="B377" s="1013"/>
      <c r="C377" s="504"/>
      <c r="D377" s="709"/>
      <c r="E377" s="709"/>
      <c r="F377" s="708"/>
      <c r="G377" s="709"/>
      <c r="H377" s="710"/>
      <c r="I377" s="545">
        <f>SUM(I378)</f>
        <v>2700</v>
      </c>
      <c r="J377" s="545">
        <f>SUM(J378)</f>
        <v>1800</v>
      </c>
      <c r="K377" s="545">
        <f>I377+J377</f>
        <v>4500</v>
      </c>
    </row>
    <row r="378" spans="1:11" s="510" customFormat="1" ht="74.25" hidden="1" customHeight="1">
      <c r="A378" s="1020" t="s">
        <v>1661</v>
      </c>
      <c r="B378" s="1022"/>
      <c r="C378" s="714" t="s">
        <v>1215</v>
      </c>
      <c r="D378" s="714">
        <v>50</v>
      </c>
      <c r="E378" s="725" t="s">
        <v>1660</v>
      </c>
      <c r="F378" s="777" t="s">
        <v>2234</v>
      </c>
      <c r="G378" s="711">
        <v>8100</v>
      </c>
      <c r="H378" s="794" t="s">
        <v>2445</v>
      </c>
      <c r="I378" s="717">
        <f>K378/100*60</f>
        <v>2700</v>
      </c>
      <c r="J378" s="717">
        <f>K378/100*40</f>
        <v>1800</v>
      </c>
      <c r="K378" s="717">
        <v>4500</v>
      </c>
    </row>
    <row r="379" spans="1:11" ht="73.5" hidden="1" customHeight="1">
      <c r="A379" s="1011" t="s">
        <v>312</v>
      </c>
      <c r="B379" s="1013"/>
      <c r="C379" s="709"/>
      <c r="D379" s="709"/>
      <c r="E379" s="709"/>
      <c r="F379" s="708"/>
      <c r="G379" s="709"/>
      <c r="H379" s="710"/>
      <c r="I379" s="545">
        <f>SUM(I380:I380)</f>
        <v>6000</v>
      </c>
      <c r="J379" s="545">
        <f>SUM(J380:J380)</f>
        <v>4000</v>
      </c>
      <c r="K379" s="545">
        <f>I379+J379</f>
        <v>10000</v>
      </c>
    </row>
    <row r="380" spans="1:11" s="510" customFormat="1" ht="74.25" hidden="1" customHeight="1">
      <c r="A380" s="1020" t="s">
        <v>1662</v>
      </c>
      <c r="B380" s="1022"/>
      <c r="C380" s="714" t="s">
        <v>1663</v>
      </c>
      <c r="D380" s="714">
        <v>16</v>
      </c>
      <c r="E380" s="725" t="s">
        <v>1664</v>
      </c>
      <c r="F380" s="777" t="s">
        <v>2224</v>
      </c>
      <c r="G380" s="711">
        <v>8100</v>
      </c>
      <c r="H380" s="783" t="s">
        <v>2273</v>
      </c>
      <c r="I380" s="717">
        <f>K380/100*60</f>
        <v>6000</v>
      </c>
      <c r="J380" s="717">
        <f>K380/100*40</f>
        <v>4000</v>
      </c>
      <c r="K380" s="717">
        <v>10000</v>
      </c>
    </row>
    <row r="381" spans="1:11" s="510" customFormat="1" ht="74.25" hidden="1" customHeight="1">
      <c r="A381" s="753"/>
      <c r="B381" s="753"/>
      <c r="C381" s="754"/>
      <c r="D381" s="754"/>
      <c r="E381" s="759"/>
      <c r="F381" s="755"/>
      <c r="G381" s="758"/>
      <c r="H381" s="756"/>
      <c r="I381" s="757"/>
      <c r="J381" s="757"/>
      <c r="K381" s="757"/>
    </row>
    <row r="382" spans="1:11" s="510" customFormat="1" ht="74.25" hidden="1" customHeight="1">
      <c r="A382" s="753"/>
      <c r="B382" s="753"/>
      <c r="C382" s="754"/>
      <c r="D382" s="754"/>
      <c r="E382" s="759"/>
      <c r="F382" s="755"/>
      <c r="G382" s="758"/>
      <c r="H382" s="756"/>
      <c r="I382" s="757"/>
      <c r="J382" s="757"/>
      <c r="K382" s="757"/>
    </row>
    <row r="383" spans="1:11" s="510" customFormat="1" ht="74.25" hidden="1" customHeight="1">
      <c r="A383" s="753"/>
      <c r="B383" s="753"/>
      <c r="C383" s="754"/>
      <c r="D383" s="754"/>
      <c r="E383" s="759"/>
      <c r="F383" s="755"/>
      <c r="G383" s="758"/>
      <c r="H383" s="756"/>
      <c r="I383" s="757"/>
      <c r="J383" s="757"/>
      <c r="K383" s="757"/>
    </row>
    <row r="384" spans="1:11" s="510" customFormat="1" ht="74.25" hidden="1" customHeight="1">
      <c r="A384" s="753"/>
      <c r="B384" s="753"/>
      <c r="C384" s="754"/>
      <c r="D384" s="754"/>
      <c r="E384" s="759"/>
      <c r="F384" s="755"/>
      <c r="G384" s="758"/>
      <c r="H384" s="756"/>
      <c r="I384" s="757"/>
      <c r="J384" s="757"/>
      <c r="K384" s="757"/>
    </row>
    <row r="385" spans="1:11" ht="34.5" hidden="1" customHeight="1">
      <c r="A385" s="1128" t="s">
        <v>51</v>
      </c>
      <c r="B385" s="1128"/>
      <c r="C385" s="1128"/>
      <c r="D385" s="1128"/>
      <c r="E385" s="1128"/>
      <c r="F385" s="1128"/>
      <c r="G385" s="1128"/>
      <c r="H385" s="1128"/>
      <c r="I385" s="1128"/>
      <c r="J385" s="1128"/>
      <c r="K385" s="1128"/>
    </row>
    <row r="386" spans="1:11" ht="30.75" hidden="1" customHeight="1">
      <c r="A386" s="1128" t="s">
        <v>52</v>
      </c>
      <c r="B386" s="1128"/>
      <c r="C386" s="1128"/>
      <c r="D386" s="1128"/>
      <c r="E386" s="1128"/>
      <c r="F386" s="1128"/>
      <c r="G386" s="1128"/>
      <c r="H386" s="1128"/>
      <c r="I386" s="1128"/>
      <c r="J386" s="1128"/>
      <c r="K386" s="1128"/>
    </row>
    <row r="387" spans="1:11" ht="33" hidden="1" customHeight="1">
      <c r="A387" s="1132" t="s">
        <v>50</v>
      </c>
      <c r="B387" s="1132"/>
      <c r="C387" s="1132"/>
      <c r="D387" s="1132"/>
      <c r="E387" s="1132"/>
      <c r="F387" s="1132"/>
      <c r="G387" s="1132"/>
      <c r="H387" s="1132"/>
      <c r="I387" s="1132"/>
      <c r="J387" s="1132"/>
      <c r="K387" s="1132"/>
    </row>
    <row r="388" spans="1:11" ht="33" hidden="1" customHeight="1">
      <c r="A388" s="154"/>
      <c r="B388" s="154"/>
      <c r="C388" s="154"/>
      <c r="D388" s="154"/>
      <c r="E388" s="154"/>
      <c r="F388" s="154"/>
      <c r="G388" s="707"/>
      <c r="H388" s="707"/>
      <c r="I388" s="707"/>
      <c r="J388" s="707"/>
      <c r="K388" s="707"/>
    </row>
    <row r="389" spans="1:11" ht="35.25" hidden="1">
      <c r="A389" s="1128" t="s">
        <v>1489</v>
      </c>
      <c r="B389" s="1128"/>
      <c r="C389" s="1128"/>
      <c r="D389" s="1128"/>
      <c r="E389" s="1128"/>
      <c r="F389" s="1128"/>
      <c r="G389" s="1128"/>
      <c r="H389" s="1128"/>
      <c r="I389" s="1128"/>
      <c r="J389" s="1128"/>
      <c r="K389" s="1128"/>
    </row>
    <row r="390" spans="1:11" s="620" customFormat="1" ht="33" hidden="1">
      <c r="A390" s="65"/>
      <c r="B390" s="65"/>
      <c r="C390" s="65"/>
      <c r="D390" s="65"/>
      <c r="E390" s="65"/>
      <c r="F390" s="65"/>
      <c r="G390" s="68"/>
      <c r="H390" s="68"/>
      <c r="I390" s="68"/>
      <c r="J390" s="68"/>
      <c r="K390" s="68"/>
    </row>
    <row r="391" spans="1:11" ht="20.100000000000001" hidden="1" customHeight="1">
      <c r="A391" s="65"/>
      <c r="B391" s="65"/>
      <c r="C391" s="65"/>
      <c r="D391" s="65"/>
      <c r="E391" s="65"/>
      <c r="F391" s="65"/>
      <c r="G391" s="68"/>
      <c r="H391" s="68"/>
      <c r="I391" s="68"/>
      <c r="J391" s="68"/>
      <c r="K391" s="68"/>
    </row>
    <row r="392" spans="1:11" ht="20.100000000000001" hidden="1" customHeight="1">
      <c r="A392" s="979"/>
      <c r="B392" s="979"/>
      <c r="C392" s="979"/>
      <c r="D392" s="979"/>
      <c r="E392" s="979"/>
      <c r="F392" s="979"/>
      <c r="G392" s="979"/>
      <c r="H392" s="979"/>
      <c r="I392" s="979"/>
      <c r="J392" s="979"/>
      <c r="K392" s="979"/>
    </row>
    <row r="393" spans="1:11" ht="45.75" hidden="1" customHeight="1">
      <c r="A393" s="1030" t="s">
        <v>1381</v>
      </c>
      <c r="B393" s="1030"/>
      <c r="C393" s="1030"/>
      <c r="D393" s="1030"/>
      <c r="E393" s="1030"/>
      <c r="F393" s="1030"/>
      <c r="G393" s="1030"/>
      <c r="H393" s="1030"/>
      <c r="I393" s="1030"/>
      <c r="J393" s="1030"/>
      <c r="K393" s="1030"/>
    </row>
    <row r="394" spans="1:11" ht="66" hidden="1" customHeight="1">
      <c r="A394" s="1039" t="s">
        <v>37</v>
      </c>
      <c r="B394" s="1039"/>
      <c r="C394" s="1039" t="s">
        <v>178</v>
      </c>
      <c r="D394" s="1039" t="s">
        <v>179</v>
      </c>
      <c r="E394" s="1039" t="s">
        <v>1521</v>
      </c>
      <c r="F394" s="1039" t="s">
        <v>14</v>
      </c>
      <c r="G394" s="1039" t="s">
        <v>1515</v>
      </c>
      <c r="H394" s="1039" t="s">
        <v>16</v>
      </c>
      <c r="I394" s="1039" t="s">
        <v>1490</v>
      </c>
      <c r="J394" s="1039" t="s">
        <v>2203</v>
      </c>
      <c r="K394" s="1039" t="s">
        <v>200</v>
      </c>
    </row>
    <row r="395" spans="1:11" s="500" customFormat="1" ht="30" hidden="1">
      <c r="A395" s="1039"/>
      <c r="B395" s="1039"/>
      <c r="C395" s="1039"/>
      <c r="D395" s="1039"/>
      <c r="E395" s="1039"/>
      <c r="F395" s="1039"/>
      <c r="G395" s="1039"/>
      <c r="H395" s="1039"/>
      <c r="I395" s="1039"/>
      <c r="J395" s="1039"/>
      <c r="K395" s="1039"/>
    </row>
    <row r="396" spans="1:11" s="500" customFormat="1" ht="74.25" hidden="1" customHeight="1">
      <c r="A396" s="1102" t="s">
        <v>1563</v>
      </c>
      <c r="B396" s="1103"/>
      <c r="C396" s="729"/>
      <c r="D396" s="729"/>
      <c r="E396" s="726"/>
      <c r="F396" s="727"/>
      <c r="G396" s="728"/>
      <c r="H396" s="728"/>
      <c r="I396" s="642">
        <f>I397+I403+I405</f>
        <v>99103.8</v>
      </c>
      <c r="J396" s="642">
        <f>J397+J403+J405</f>
        <v>66069.2</v>
      </c>
      <c r="K396" s="642">
        <f>I396+J396</f>
        <v>165173</v>
      </c>
    </row>
    <row r="397" spans="1:11" ht="75" hidden="1" customHeight="1">
      <c r="A397" s="1011" t="s">
        <v>1541</v>
      </c>
      <c r="B397" s="1013"/>
      <c r="C397" s="709"/>
      <c r="D397" s="709"/>
      <c r="E397" s="709"/>
      <c r="F397" s="708"/>
      <c r="G397" s="709"/>
      <c r="H397" s="710"/>
      <c r="I397" s="545">
        <f>SUM(I398:I402)</f>
        <v>85878</v>
      </c>
      <c r="J397" s="545">
        <f>SUM(J398:J402)</f>
        <v>57252</v>
      </c>
      <c r="K397" s="545">
        <f>I397+J397</f>
        <v>143130</v>
      </c>
    </row>
    <row r="398" spans="1:11" s="510" customFormat="1" ht="74.25" hidden="1" customHeight="1">
      <c r="A398" s="1020" t="s">
        <v>1545</v>
      </c>
      <c r="B398" s="1022"/>
      <c r="C398" s="714" t="s">
        <v>1550</v>
      </c>
      <c r="D398" s="714">
        <v>6</v>
      </c>
      <c r="E398" s="725" t="s">
        <v>1558</v>
      </c>
      <c r="F398" s="776" t="s">
        <v>2229</v>
      </c>
      <c r="G398" s="1047">
        <v>8100</v>
      </c>
      <c r="H398" s="1099" t="s">
        <v>2273</v>
      </c>
      <c r="I398" s="717">
        <f>K398/100*60</f>
        <v>13800</v>
      </c>
      <c r="J398" s="717">
        <f>K398/100*40</f>
        <v>9200</v>
      </c>
      <c r="K398" s="717">
        <v>23000</v>
      </c>
    </row>
    <row r="399" spans="1:11" s="510" customFormat="1" ht="75" hidden="1" customHeight="1">
      <c r="A399" s="1020" t="s">
        <v>1546</v>
      </c>
      <c r="B399" s="1022"/>
      <c r="C399" s="714" t="s">
        <v>1551</v>
      </c>
      <c r="D399" s="714">
        <v>3</v>
      </c>
      <c r="E399" s="725" t="s">
        <v>1559</v>
      </c>
      <c r="F399" s="776" t="s">
        <v>2230</v>
      </c>
      <c r="G399" s="1048"/>
      <c r="H399" s="1100"/>
      <c r="I399" s="717">
        <f>K399/100*60</f>
        <v>27000</v>
      </c>
      <c r="J399" s="717">
        <f>K399/100*40</f>
        <v>18000</v>
      </c>
      <c r="K399" s="717">
        <v>45000</v>
      </c>
    </row>
    <row r="400" spans="1:11" s="510" customFormat="1" ht="75" hidden="1" customHeight="1">
      <c r="A400" s="1020" t="s">
        <v>1547</v>
      </c>
      <c r="B400" s="1022"/>
      <c r="C400" s="714" t="s">
        <v>1552</v>
      </c>
      <c r="D400" s="714">
        <v>70</v>
      </c>
      <c r="E400" s="725" t="s">
        <v>1559</v>
      </c>
      <c r="F400" s="1044" t="s">
        <v>2231</v>
      </c>
      <c r="G400" s="1048"/>
      <c r="H400" s="1100"/>
      <c r="I400" s="717">
        <f>K400/100*60</f>
        <v>4200</v>
      </c>
      <c r="J400" s="717">
        <f>K400/100*40</f>
        <v>2800</v>
      </c>
      <c r="K400" s="717">
        <v>7000</v>
      </c>
    </row>
    <row r="401" spans="1:11" s="510" customFormat="1" ht="75" hidden="1" customHeight="1">
      <c r="A401" s="1020" t="s">
        <v>1548</v>
      </c>
      <c r="B401" s="1022"/>
      <c r="C401" s="714" t="s">
        <v>1553</v>
      </c>
      <c r="D401" s="714">
        <v>20</v>
      </c>
      <c r="E401" s="725" t="s">
        <v>1560</v>
      </c>
      <c r="F401" s="1045"/>
      <c r="G401" s="1048"/>
      <c r="H401" s="1100"/>
      <c r="I401" s="717">
        <f>K401/100*60</f>
        <v>6900</v>
      </c>
      <c r="J401" s="717">
        <f>K401/100*40</f>
        <v>4600</v>
      </c>
      <c r="K401" s="717">
        <v>11500</v>
      </c>
    </row>
    <row r="402" spans="1:11" s="510" customFormat="1" ht="75" hidden="1" customHeight="1">
      <c r="A402" s="1020" t="s">
        <v>1549</v>
      </c>
      <c r="B402" s="1022"/>
      <c r="C402" s="714" t="s">
        <v>1523</v>
      </c>
      <c r="D402" s="714">
        <v>4</v>
      </c>
      <c r="E402" s="725" t="s">
        <v>1561</v>
      </c>
      <c r="F402" s="1046"/>
      <c r="G402" s="1049"/>
      <c r="H402" s="1101"/>
      <c r="I402" s="717">
        <f>K402/100*60</f>
        <v>33978</v>
      </c>
      <c r="J402" s="717">
        <f>K402/100*40</f>
        <v>22652</v>
      </c>
      <c r="K402" s="717">
        <v>56630</v>
      </c>
    </row>
    <row r="403" spans="1:11" ht="74.25" hidden="1" customHeight="1">
      <c r="A403" s="1011" t="s">
        <v>278</v>
      </c>
      <c r="B403" s="1013"/>
      <c r="C403" s="504"/>
      <c r="D403" s="709"/>
      <c r="E403" s="709"/>
      <c r="F403" s="708"/>
      <c r="G403" s="709"/>
      <c r="H403" s="710"/>
      <c r="I403" s="545">
        <f>SUM(I404)</f>
        <v>8100</v>
      </c>
      <c r="J403" s="545">
        <f>SUM(J404)</f>
        <v>5400</v>
      </c>
      <c r="K403" s="545">
        <f>I403+J403</f>
        <v>13500</v>
      </c>
    </row>
    <row r="404" spans="1:11" s="510" customFormat="1" ht="74.25" hidden="1" customHeight="1">
      <c r="A404" s="1020" t="s">
        <v>1554</v>
      </c>
      <c r="B404" s="1022"/>
      <c r="C404" s="714" t="s">
        <v>18</v>
      </c>
      <c r="D404" s="714">
        <v>10</v>
      </c>
      <c r="E404" s="725" t="s">
        <v>1526</v>
      </c>
      <c r="F404" s="777" t="s">
        <v>2234</v>
      </c>
      <c r="G404" s="711">
        <v>8100</v>
      </c>
      <c r="H404" s="794" t="s">
        <v>2445</v>
      </c>
      <c r="I404" s="717">
        <f>K404/100*60</f>
        <v>8100</v>
      </c>
      <c r="J404" s="717">
        <f>K404/100*40</f>
        <v>5400</v>
      </c>
      <c r="K404" s="717">
        <v>13500</v>
      </c>
    </row>
    <row r="405" spans="1:11" ht="73.5" hidden="1" customHeight="1">
      <c r="A405" s="1011" t="s">
        <v>312</v>
      </c>
      <c r="B405" s="1013"/>
      <c r="C405" s="709"/>
      <c r="D405" s="709"/>
      <c r="E405" s="709"/>
      <c r="F405" s="708"/>
      <c r="G405" s="709"/>
      <c r="H405" s="710"/>
      <c r="I405" s="545">
        <f>SUM(I406:I407)</f>
        <v>5125.8</v>
      </c>
      <c r="J405" s="545">
        <f>SUM(J406:J407)</f>
        <v>3417.2000000000003</v>
      </c>
      <c r="K405" s="545">
        <f>SUM(K406:K407)</f>
        <v>8543</v>
      </c>
    </row>
    <row r="406" spans="1:11" s="510" customFormat="1" ht="74.25" hidden="1" customHeight="1">
      <c r="A406" s="1020" t="s">
        <v>1555</v>
      </c>
      <c r="B406" s="1022"/>
      <c r="C406" s="714" t="s">
        <v>1551</v>
      </c>
      <c r="D406" s="714">
        <v>3</v>
      </c>
      <c r="E406" s="725" t="s">
        <v>1560</v>
      </c>
      <c r="F406" s="1044" t="s">
        <v>2224</v>
      </c>
      <c r="G406" s="1047">
        <v>8100</v>
      </c>
      <c r="H406" s="1099" t="s">
        <v>2273</v>
      </c>
      <c r="I406" s="717">
        <f>K406/100*60</f>
        <v>1200</v>
      </c>
      <c r="J406" s="717">
        <f>K406/100*40</f>
        <v>800</v>
      </c>
      <c r="K406" s="717">
        <v>2000</v>
      </c>
    </row>
    <row r="407" spans="1:11" s="510" customFormat="1" ht="74.25" hidden="1" customHeight="1">
      <c r="A407" s="1020" t="s">
        <v>1556</v>
      </c>
      <c r="B407" s="1022"/>
      <c r="C407" s="714" t="s">
        <v>1557</v>
      </c>
      <c r="D407" s="714">
        <v>11</v>
      </c>
      <c r="E407" s="725" t="s">
        <v>1562</v>
      </c>
      <c r="F407" s="1046"/>
      <c r="G407" s="1049"/>
      <c r="H407" s="1101"/>
      <c r="I407" s="717">
        <f>K407/100*60</f>
        <v>3925.8</v>
      </c>
      <c r="J407" s="717">
        <f>K407/100*40</f>
        <v>2617.2000000000003</v>
      </c>
      <c r="K407" s="717">
        <v>6543</v>
      </c>
    </row>
    <row r="408" spans="1:11" s="743" customFormat="1" ht="36.75" hidden="1" customHeight="1">
      <c r="A408" s="1135"/>
      <c r="B408" s="1136"/>
      <c r="C408" s="738"/>
      <c r="D408" s="738"/>
      <c r="E408" s="739"/>
      <c r="F408" s="740"/>
      <c r="G408" s="741"/>
      <c r="H408" s="741"/>
      <c r="I408" s="742"/>
      <c r="J408" s="742"/>
      <c r="K408" s="742"/>
    </row>
    <row r="409" spans="1:11" ht="66" hidden="1" customHeight="1">
      <c r="A409" s="1031" t="s">
        <v>37</v>
      </c>
      <c r="B409" s="1033"/>
      <c r="C409" s="1037" t="s">
        <v>178</v>
      </c>
      <c r="D409" s="1037" t="s">
        <v>179</v>
      </c>
      <c r="E409" s="1037" t="s">
        <v>1521</v>
      </c>
      <c r="F409" s="1037" t="s">
        <v>14</v>
      </c>
      <c r="G409" s="1037" t="s">
        <v>1515</v>
      </c>
      <c r="H409" s="1037" t="s">
        <v>16</v>
      </c>
      <c r="I409" s="1039" t="s">
        <v>1490</v>
      </c>
      <c r="J409" s="1039" t="s">
        <v>2203</v>
      </c>
      <c r="K409" s="1037" t="s">
        <v>200</v>
      </c>
    </row>
    <row r="410" spans="1:11" s="500" customFormat="1" ht="30" hidden="1">
      <c r="A410" s="1034"/>
      <c r="B410" s="1036"/>
      <c r="C410" s="1038"/>
      <c r="D410" s="1038"/>
      <c r="E410" s="1038"/>
      <c r="F410" s="1038"/>
      <c r="G410" s="1038"/>
      <c r="H410" s="1038"/>
      <c r="I410" s="1039"/>
      <c r="J410" s="1039"/>
      <c r="K410" s="1038"/>
    </row>
    <row r="411" spans="1:11" s="500" customFormat="1" ht="74.25" hidden="1" customHeight="1">
      <c r="A411" s="1102" t="s">
        <v>1514</v>
      </c>
      <c r="B411" s="1103"/>
      <c r="C411" s="729"/>
      <c r="D411" s="729"/>
      <c r="E411" s="726"/>
      <c r="F411" s="727"/>
      <c r="G411" s="728"/>
      <c r="H411" s="728"/>
      <c r="I411" s="642">
        <f>I412+I414+I418+I420</f>
        <v>458095.80000000005</v>
      </c>
      <c r="J411" s="642">
        <f>J412+J414+J418+J420</f>
        <v>305397.2</v>
      </c>
      <c r="K411" s="642">
        <f>I411+J411</f>
        <v>763493</v>
      </c>
    </row>
    <row r="412" spans="1:11" s="579" customFormat="1" ht="73.5" hidden="1" customHeight="1">
      <c r="A412" s="1011" t="s">
        <v>2251</v>
      </c>
      <c r="B412" s="1012"/>
      <c r="C412" s="1012"/>
      <c r="D412" s="1012"/>
      <c r="E412" s="1012"/>
      <c r="F412" s="1013"/>
      <c r="G412" s="709"/>
      <c r="H412" s="710"/>
      <c r="I412" s="545">
        <f>I413</f>
        <v>20635.2</v>
      </c>
      <c r="J412" s="545">
        <f>J413</f>
        <v>13756.800000000001</v>
      </c>
      <c r="K412" s="545">
        <f>I412+J412</f>
        <v>34392</v>
      </c>
    </row>
    <row r="413" spans="1:11" s="510" customFormat="1" ht="74.25" hidden="1" customHeight="1">
      <c r="A413" s="1020" t="s">
        <v>1512</v>
      </c>
      <c r="B413" s="1022"/>
      <c r="C413" s="714" t="s">
        <v>147</v>
      </c>
      <c r="D413" s="714">
        <v>50</v>
      </c>
      <c r="E413" s="725" t="s">
        <v>1516</v>
      </c>
      <c r="F413" s="780" t="s">
        <v>2255</v>
      </c>
      <c r="G413" s="711">
        <v>8100</v>
      </c>
      <c r="H413" s="783" t="s">
        <v>2273</v>
      </c>
      <c r="I413" s="717">
        <f>K413/100*60</f>
        <v>20635.2</v>
      </c>
      <c r="J413" s="717">
        <f>K413/100*40</f>
        <v>13756.800000000001</v>
      </c>
      <c r="K413" s="717">
        <v>34392</v>
      </c>
    </row>
    <row r="414" spans="1:11" ht="75" hidden="1" customHeight="1">
      <c r="A414" s="1011" t="s">
        <v>1541</v>
      </c>
      <c r="B414" s="1013"/>
      <c r="C414" s="709"/>
      <c r="D414" s="709"/>
      <c r="E414" s="709"/>
      <c r="F414" s="708"/>
      <c r="G414" s="709"/>
      <c r="H414" s="710"/>
      <c r="I414" s="545">
        <f>SUM(I415:I417)</f>
        <v>412860.60000000003</v>
      </c>
      <c r="J414" s="545">
        <f>SUM(J415:J417)</f>
        <v>275240.40000000002</v>
      </c>
      <c r="K414" s="545">
        <f>I414+J414</f>
        <v>688101</v>
      </c>
    </row>
    <row r="415" spans="1:11" s="510" customFormat="1" ht="74.25" hidden="1" customHeight="1">
      <c r="A415" s="1020" t="s">
        <v>1565</v>
      </c>
      <c r="B415" s="1022"/>
      <c r="C415" s="714" t="s">
        <v>1517</v>
      </c>
      <c r="D415" s="714">
        <v>70</v>
      </c>
      <c r="E415" s="725" t="s">
        <v>1518</v>
      </c>
      <c r="F415" s="776" t="s">
        <v>2229</v>
      </c>
      <c r="G415" s="1047">
        <v>8100</v>
      </c>
      <c r="H415" s="1099" t="s">
        <v>2273</v>
      </c>
      <c r="I415" s="717">
        <f>K415/100*60</f>
        <v>271938.60000000003</v>
      </c>
      <c r="J415" s="717">
        <f>K415/100*40</f>
        <v>181292.40000000002</v>
      </c>
      <c r="K415" s="717">
        <v>453231</v>
      </c>
    </row>
    <row r="416" spans="1:11" s="510" customFormat="1" ht="75" hidden="1" customHeight="1">
      <c r="A416" s="1020" t="s">
        <v>1513</v>
      </c>
      <c r="B416" s="1022"/>
      <c r="C416" s="714" t="s">
        <v>1519</v>
      </c>
      <c r="D416" s="714">
        <v>40</v>
      </c>
      <c r="E416" s="725" t="s">
        <v>1520</v>
      </c>
      <c r="F416" s="776" t="s">
        <v>2230</v>
      </c>
      <c r="G416" s="1048"/>
      <c r="H416" s="1100"/>
      <c r="I416" s="717">
        <f>K416/100*60</f>
        <v>60000</v>
      </c>
      <c r="J416" s="717">
        <f>K416/100*40</f>
        <v>40000</v>
      </c>
      <c r="K416" s="717">
        <v>100000</v>
      </c>
    </row>
    <row r="417" spans="1:11" s="510" customFormat="1" ht="75" hidden="1" customHeight="1">
      <c r="A417" s="1020" t="s">
        <v>1522</v>
      </c>
      <c r="B417" s="1022"/>
      <c r="C417" s="714" t="s">
        <v>1523</v>
      </c>
      <c r="D417" s="714">
        <v>40</v>
      </c>
      <c r="E417" s="725" t="s">
        <v>1524</v>
      </c>
      <c r="F417" s="776" t="s">
        <v>2231</v>
      </c>
      <c r="G417" s="1049"/>
      <c r="H417" s="1101"/>
      <c r="I417" s="717">
        <f>K417/100*60</f>
        <v>80922</v>
      </c>
      <c r="J417" s="717">
        <f>K417/100*40</f>
        <v>53948</v>
      </c>
      <c r="K417" s="717">
        <v>134870</v>
      </c>
    </row>
    <row r="418" spans="1:11" ht="74.25" hidden="1" customHeight="1">
      <c r="A418" s="1011" t="s">
        <v>278</v>
      </c>
      <c r="B418" s="1013"/>
      <c r="C418" s="504"/>
      <c r="D418" s="709"/>
      <c r="E418" s="709"/>
      <c r="F418" s="708"/>
      <c r="G418" s="709"/>
      <c r="H418" s="710"/>
      <c r="I418" s="545">
        <f>SUM(I419)</f>
        <v>6600</v>
      </c>
      <c r="J418" s="545">
        <f>SUM(J419)</f>
        <v>4400</v>
      </c>
      <c r="K418" s="545">
        <f>I418+J418</f>
        <v>11000</v>
      </c>
    </row>
    <row r="419" spans="1:11" s="510" customFormat="1" ht="74.25" hidden="1" customHeight="1">
      <c r="A419" s="1020" t="s">
        <v>1510</v>
      </c>
      <c r="B419" s="1022"/>
      <c r="C419" s="714" t="s">
        <v>18</v>
      </c>
      <c r="D419" s="714">
        <v>30</v>
      </c>
      <c r="E419" s="725" t="s">
        <v>1526</v>
      </c>
      <c r="F419" s="777" t="s">
        <v>2234</v>
      </c>
      <c r="G419" s="711">
        <v>8100</v>
      </c>
      <c r="H419" s="794" t="s">
        <v>2445</v>
      </c>
      <c r="I419" s="717">
        <f>K419/100*60</f>
        <v>6600</v>
      </c>
      <c r="J419" s="717">
        <f>K419/100*40</f>
        <v>4400</v>
      </c>
      <c r="K419" s="717">
        <v>11000</v>
      </c>
    </row>
    <row r="420" spans="1:11" ht="73.5" hidden="1" customHeight="1">
      <c r="A420" s="1011" t="s">
        <v>312</v>
      </c>
      <c r="B420" s="1013"/>
      <c r="C420" s="709"/>
      <c r="D420" s="709"/>
      <c r="E420" s="709"/>
      <c r="F420" s="708"/>
      <c r="G420" s="709"/>
      <c r="H420" s="710"/>
      <c r="I420" s="545">
        <f>I421</f>
        <v>18000</v>
      </c>
      <c r="J420" s="545">
        <f>J421</f>
        <v>12000</v>
      </c>
      <c r="K420" s="545">
        <f>I420+J420</f>
        <v>30000</v>
      </c>
    </row>
    <row r="421" spans="1:11" s="510" customFormat="1" ht="74.25" hidden="1" customHeight="1">
      <c r="A421" s="1020" t="s">
        <v>1511</v>
      </c>
      <c r="B421" s="1022"/>
      <c r="C421" s="714" t="s">
        <v>1525</v>
      </c>
      <c r="D421" s="714">
        <v>60</v>
      </c>
      <c r="E421" s="725" t="s">
        <v>1527</v>
      </c>
      <c r="F421" s="777" t="s">
        <v>2224</v>
      </c>
      <c r="G421" s="711">
        <v>8100</v>
      </c>
      <c r="H421" s="783" t="s">
        <v>2273</v>
      </c>
      <c r="I421" s="717">
        <f>K421/100*60</f>
        <v>18000</v>
      </c>
      <c r="J421" s="717">
        <f>K421/100*40</f>
        <v>12000</v>
      </c>
      <c r="K421" s="717">
        <v>30000</v>
      </c>
    </row>
    <row r="422" spans="1:11" s="510" customFormat="1" ht="74.25" hidden="1" customHeight="1">
      <c r="A422" s="753"/>
      <c r="B422" s="753"/>
      <c r="C422" s="754"/>
      <c r="D422" s="754"/>
      <c r="E422" s="759"/>
      <c r="F422" s="755"/>
      <c r="G422" s="758"/>
      <c r="H422" s="756"/>
      <c r="I422" s="757"/>
      <c r="J422" s="757"/>
      <c r="K422" s="757"/>
    </row>
    <row r="423" spans="1:11" s="510" customFormat="1" ht="74.25" hidden="1" customHeight="1">
      <c r="A423" s="753"/>
      <c r="B423" s="753"/>
      <c r="C423" s="754"/>
      <c r="D423" s="754"/>
      <c r="E423" s="759"/>
      <c r="F423" s="755"/>
      <c r="G423" s="758"/>
      <c r="H423" s="756"/>
      <c r="I423" s="757"/>
      <c r="J423" s="757"/>
      <c r="K423" s="757"/>
    </row>
    <row r="424" spans="1:11" s="510" customFormat="1" ht="74.25" hidden="1" customHeight="1">
      <c r="A424" s="753"/>
      <c r="B424" s="753"/>
      <c r="C424" s="754"/>
      <c r="D424" s="754"/>
      <c r="E424" s="759"/>
      <c r="F424" s="755"/>
      <c r="G424" s="758"/>
      <c r="H424" s="756"/>
      <c r="I424" s="757"/>
      <c r="J424" s="757"/>
      <c r="K424" s="757"/>
    </row>
    <row r="425" spans="1:11" s="510" customFormat="1" ht="74.25" hidden="1" customHeight="1">
      <c r="A425" s="753"/>
      <c r="B425" s="753"/>
      <c r="C425" s="754"/>
      <c r="D425" s="754"/>
      <c r="E425" s="759"/>
      <c r="F425" s="755"/>
      <c r="G425" s="758"/>
      <c r="H425" s="756"/>
      <c r="I425" s="757"/>
      <c r="J425" s="757"/>
      <c r="K425" s="757"/>
    </row>
    <row r="426" spans="1:11" s="510" customFormat="1" ht="74.25" hidden="1" customHeight="1">
      <c r="A426" s="753"/>
      <c r="B426" s="753"/>
      <c r="C426" s="754"/>
      <c r="D426" s="754"/>
      <c r="E426" s="759"/>
      <c r="F426" s="755"/>
      <c r="G426" s="758"/>
      <c r="H426" s="756"/>
      <c r="I426" s="757"/>
      <c r="J426" s="757"/>
      <c r="K426" s="757"/>
    </row>
    <row r="427" spans="1:11" ht="34.5" hidden="1" customHeight="1">
      <c r="A427" s="1128" t="s">
        <v>51</v>
      </c>
      <c r="B427" s="1128"/>
      <c r="C427" s="1128"/>
      <c r="D427" s="1128"/>
      <c r="E427" s="1128"/>
      <c r="F427" s="1128"/>
      <c r="G427" s="1128"/>
      <c r="H427" s="1128"/>
      <c r="I427" s="1128"/>
      <c r="J427" s="1128"/>
      <c r="K427" s="1128"/>
    </row>
    <row r="428" spans="1:11" ht="30.75" hidden="1" customHeight="1">
      <c r="A428" s="1128" t="s">
        <v>52</v>
      </c>
      <c r="B428" s="1128"/>
      <c r="C428" s="1128"/>
      <c r="D428" s="1128"/>
      <c r="E428" s="1128"/>
      <c r="F428" s="1128"/>
      <c r="G428" s="1128"/>
      <c r="H428" s="1128"/>
      <c r="I428" s="1128"/>
      <c r="J428" s="1128"/>
      <c r="K428" s="1128"/>
    </row>
    <row r="429" spans="1:11" ht="33" hidden="1" customHeight="1">
      <c r="A429" s="1132" t="s">
        <v>50</v>
      </c>
      <c r="B429" s="1132"/>
      <c r="C429" s="1132"/>
      <c r="D429" s="1132"/>
      <c r="E429" s="1132"/>
      <c r="F429" s="1132"/>
      <c r="G429" s="1132"/>
      <c r="H429" s="1132"/>
      <c r="I429" s="1132"/>
      <c r="J429" s="1132"/>
      <c r="K429" s="1132"/>
    </row>
    <row r="430" spans="1:11" ht="33" hidden="1" customHeight="1">
      <c r="A430" s="154"/>
      <c r="B430" s="154"/>
      <c r="C430" s="154"/>
      <c r="D430" s="154"/>
      <c r="E430" s="154"/>
      <c r="F430" s="154"/>
      <c r="G430" s="707"/>
      <c r="H430" s="707"/>
      <c r="I430" s="707"/>
      <c r="J430" s="707"/>
      <c r="K430" s="707"/>
    </row>
    <row r="431" spans="1:11" ht="35.25" hidden="1">
      <c r="A431" s="1128" t="s">
        <v>1489</v>
      </c>
      <c r="B431" s="1128"/>
      <c r="C431" s="1128"/>
      <c r="D431" s="1128"/>
      <c r="E431" s="1128"/>
      <c r="F431" s="1128"/>
      <c r="G431" s="1128"/>
      <c r="H431" s="1128"/>
      <c r="I431" s="1128"/>
      <c r="J431" s="1128"/>
      <c r="K431" s="1128"/>
    </row>
    <row r="432" spans="1:11" s="620" customFormat="1" ht="33" hidden="1">
      <c r="A432" s="65"/>
      <c r="B432" s="65"/>
      <c r="C432" s="65"/>
      <c r="D432" s="65"/>
      <c r="E432" s="65"/>
      <c r="F432" s="65"/>
      <c r="G432" s="68"/>
      <c r="H432" s="68"/>
      <c r="I432" s="68"/>
      <c r="J432" s="68"/>
      <c r="K432" s="68"/>
    </row>
    <row r="433" spans="1:11" ht="20.100000000000001" hidden="1" customHeight="1">
      <c r="A433" s="65"/>
      <c r="B433" s="65"/>
      <c r="C433" s="65"/>
      <c r="D433" s="65"/>
      <c r="E433" s="65"/>
      <c r="F433" s="65"/>
      <c r="G433" s="68"/>
      <c r="H433" s="68"/>
      <c r="I433" s="68"/>
      <c r="J433" s="68"/>
      <c r="K433" s="68"/>
    </row>
    <row r="434" spans="1:11" ht="20.100000000000001" hidden="1" customHeight="1">
      <c r="A434" s="979"/>
      <c r="B434" s="979"/>
      <c r="C434" s="979"/>
      <c r="D434" s="979"/>
      <c r="E434" s="979"/>
      <c r="F434" s="979"/>
      <c r="G434" s="979"/>
      <c r="H434" s="979"/>
      <c r="I434" s="979"/>
      <c r="J434" s="979"/>
      <c r="K434" s="979"/>
    </row>
    <row r="435" spans="1:11" ht="45.75" hidden="1" customHeight="1">
      <c r="A435" s="1030" t="s">
        <v>1381</v>
      </c>
      <c r="B435" s="1030"/>
      <c r="C435" s="1030"/>
      <c r="D435" s="1030"/>
      <c r="E435" s="1030"/>
      <c r="F435" s="1030"/>
      <c r="G435" s="1030"/>
      <c r="H435" s="1030"/>
      <c r="I435" s="1030"/>
      <c r="J435" s="1030"/>
      <c r="K435" s="1030"/>
    </row>
    <row r="436" spans="1:11" ht="66" hidden="1" customHeight="1">
      <c r="A436" s="1031" t="s">
        <v>37</v>
      </c>
      <c r="B436" s="1033"/>
      <c r="C436" s="1037" t="s">
        <v>178</v>
      </c>
      <c r="D436" s="1037" t="s">
        <v>179</v>
      </c>
      <c r="E436" s="1037" t="s">
        <v>1521</v>
      </c>
      <c r="F436" s="1037" t="s">
        <v>14</v>
      </c>
      <c r="G436" s="1037" t="s">
        <v>1515</v>
      </c>
      <c r="H436" s="1037" t="s">
        <v>16</v>
      </c>
      <c r="I436" s="1039" t="s">
        <v>1490</v>
      </c>
      <c r="J436" s="1039" t="s">
        <v>2203</v>
      </c>
      <c r="K436" s="1037" t="s">
        <v>200</v>
      </c>
    </row>
    <row r="437" spans="1:11" s="500" customFormat="1" ht="30" hidden="1">
      <c r="A437" s="1034"/>
      <c r="B437" s="1036"/>
      <c r="C437" s="1038"/>
      <c r="D437" s="1038"/>
      <c r="E437" s="1038"/>
      <c r="F437" s="1038"/>
      <c r="G437" s="1038"/>
      <c r="H437" s="1038"/>
      <c r="I437" s="1039"/>
      <c r="J437" s="1039"/>
      <c r="K437" s="1038"/>
    </row>
    <row r="438" spans="1:11" s="500" customFormat="1" ht="74.25" hidden="1" customHeight="1">
      <c r="A438" s="1102" t="s">
        <v>1665</v>
      </c>
      <c r="B438" s="1103"/>
      <c r="C438" s="729"/>
      <c r="D438" s="729"/>
      <c r="E438" s="726"/>
      <c r="F438" s="727"/>
      <c r="G438" s="728"/>
      <c r="H438" s="728"/>
      <c r="I438" s="642">
        <f>I439+I441+I452+I454</f>
        <v>458956.2</v>
      </c>
      <c r="J438" s="642">
        <f>J439+J441+J452+J454</f>
        <v>305970.8</v>
      </c>
      <c r="K438" s="642">
        <f>I438+J438</f>
        <v>764927</v>
      </c>
    </row>
    <row r="439" spans="1:11" s="579" customFormat="1" ht="73.5" hidden="1" customHeight="1">
      <c r="A439" s="1011" t="s">
        <v>2251</v>
      </c>
      <c r="B439" s="1012"/>
      <c r="C439" s="1012"/>
      <c r="D439" s="1012"/>
      <c r="E439" s="1012"/>
      <c r="F439" s="1013"/>
      <c r="G439" s="709"/>
      <c r="H439" s="710"/>
      <c r="I439" s="545">
        <f>I440</f>
        <v>39048.6</v>
      </c>
      <c r="J439" s="545">
        <f>J440</f>
        <v>26032.399999999998</v>
      </c>
      <c r="K439" s="545">
        <f>I439+J439</f>
        <v>65081</v>
      </c>
    </row>
    <row r="440" spans="1:11" s="510" customFormat="1" ht="74.25" hidden="1" customHeight="1">
      <c r="A440" s="1020" t="s">
        <v>246</v>
      </c>
      <c r="B440" s="1022"/>
      <c r="C440" s="714" t="s">
        <v>147</v>
      </c>
      <c r="D440" s="714">
        <v>35</v>
      </c>
      <c r="E440" s="725" t="s">
        <v>1666</v>
      </c>
      <c r="F440" s="780" t="s">
        <v>2256</v>
      </c>
      <c r="G440" s="711">
        <v>8100</v>
      </c>
      <c r="H440" s="783" t="s">
        <v>2273</v>
      </c>
      <c r="I440" s="717">
        <f>K440/100*60</f>
        <v>39048.6</v>
      </c>
      <c r="J440" s="717">
        <f>K440/100*40</f>
        <v>26032.399999999998</v>
      </c>
      <c r="K440" s="717">
        <v>65081</v>
      </c>
    </row>
    <row r="441" spans="1:11" ht="75" hidden="1" customHeight="1">
      <c r="A441" s="1011" t="s">
        <v>1541</v>
      </c>
      <c r="B441" s="1013"/>
      <c r="C441" s="709"/>
      <c r="D441" s="709"/>
      <c r="E441" s="709"/>
      <c r="F441" s="708"/>
      <c r="G441" s="709"/>
      <c r="H441" s="710"/>
      <c r="I441" s="545">
        <f>SUM(I442:I451)</f>
        <v>380117.4</v>
      </c>
      <c r="J441" s="545">
        <f>SUM(J442:J451)</f>
        <v>253411.6</v>
      </c>
      <c r="K441" s="545">
        <f>I441+J441</f>
        <v>633529</v>
      </c>
    </row>
    <row r="442" spans="1:11" s="510" customFormat="1" ht="74.25" hidden="1" customHeight="1">
      <c r="A442" s="1020" t="s">
        <v>1667</v>
      </c>
      <c r="B442" s="1022"/>
      <c r="C442" s="714" t="s">
        <v>147</v>
      </c>
      <c r="D442" s="714">
        <v>160</v>
      </c>
      <c r="E442" s="725" t="s">
        <v>1684</v>
      </c>
      <c r="F442" s="776" t="s">
        <v>2229</v>
      </c>
      <c r="G442" s="1047">
        <v>8100</v>
      </c>
      <c r="H442" s="1099" t="s">
        <v>2273</v>
      </c>
      <c r="I442" s="717">
        <f t="shared" ref="I442:I451" si="15">K442/100*60</f>
        <v>42000</v>
      </c>
      <c r="J442" s="717">
        <f t="shared" ref="J442:J451" si="16">K442/100*40</f>
        <v>28000</v>
      </c>
      <c r="K442" s="717">
        <v>70000</v>
      </c>
    </row>
    <row r="443" spans="1:11" s="510" customFormat="1" ht="75" hidden="1" customHeight="1">
      <c r="A443" s="1020" t="s">
        <v>1668</v>
      </c>
      <c r="B443" s="1022"/>
      <c r="C443" s="714" t="s">
        <v>1677</v>
      </c>
      <c r="D443" s="714">
        <v>1</v>
      </c>
      <c r="E443" s="725" t="s">
        <v>1685</v>
      </c>
      <c r="F443" s="776" t="s">
        <v>2230</v>
      </c>
      <c r="G443" s="1048"/>
      <c r="H443" s="1100"/>
      <c r="I443" s="717">
        <f t="shared" si="15"/>
        <v>210000</v>
      </c>
      <c r="J443" s="717">
        <f t="shared" si="16"/>
        <v>140000</v>
      </c>
      <c r="K443" s="717">
        <v>350000</v>
      </c>
    </row>
    <row r="444" spans="1:11" s="510" customFormat="1" ht="75" hidden="1" customHeight="1">
      <c r="A444" s="1020" t="s">
        <v>1669</v>
      </c>
      <c r="B444" s="1022"/>
      <c r="C444" s="714" t="s">
        <v>1678</v>
      </c>
      <c r="D444" s="744">
        <v>2</v>
      </c>
      <c r="E444" s="725" t="s">
        <v>1686</v>
      </c>
      <c r="F444" s="1044" t="s">
        <v>2231</v>
      </c>
      <c r="G444" s="1048"/>
      <c r="H444" s="1100"/>
      <c r="I444" s="717">
        <f t="shared" si="15"/>
        <v>12000</v>
      </c>
      <c r="J444" s="717">
        <f t="shared" si="16"/>
        <v>8000</v>
      </c>
      <c r="K444" s="717">
        <v>20000</v>
      </c>
    </row>
    <row r="445" spans="1:11" s="510" customFormat="1" ht="75" hidden="1" customHeight="1">
      <c r="A445" s="1020" t="s">
        <v>1670</v>
      </c>
      <c r="B445" s="1022"/>
      <c r="C445" s="714" t="s">
        <v>1679</v>
      </c>
      <c r="D445" s="714">
        <v>12</v>
      </c>
      <c r="E445" s="725" t="s">
        <v>1687</v>
      </c>
      <c r="F445" s="1045"/>
      <c r="G445" s="1048"/>
      <c r="H445" s="1100"/>
      <c r="I445" s="717">
        <f t="shared" si="15"/>
        <v>6000</v>
      </c>
      <c r="J445" s="717">
        <f t="shared" si="16"/>
        <v>4000</v>
      </c>
      <c r="K445" s="717">
        <v>10000</v>
      </c>
    </row>
    <row r="446" spans="1:11" s="510" customFormat="1" ht="75" hidden="1" customHeight="1">
      <c r="A446" s="1020" t="s">
        <v>1671</v>
      </c>
      <c r="B446" s="1022"/>
      <c r="C446" s="714" t="s">
        <v>1680</v>
      </c>
      <c r="D446" s="714">
        <v>2</v>
      </c>
      <c r="E446" s="725" t="s">
        <v>1688</v>
      </c>
      <c r="F446" s="1045"/>
      <c r="G446" s="1048"/>
      <c r="H446" s="1100"/>
      <c r="I446" s="717">
        <f t="shared" si="15"/>
        <v>49517.399999999994</v>
      </c>
      <c r="J446" s="717">
        <f t="shared" si="16"/>
        <v>33011.599999999999</v>
      </c>
      <c r="K446" s="717">
        <v>82529</v>
      </c>
    </row>
    <row r="447" spans="1:11" s="510" customFormat="1" ht="75" hidden="1" customHeight="1">
      <c r="A447" s="1020" t="s">
        <v>1672</v>
      </c>
      <c r="B447" s="1022"/>
      <c r="C447" s="714" t="s">
        <v>1681</v>
      </c>
      <c r="D447" s="714">
        <v>2</v>
      </c>
      <c r="E447" s="725" t="s">
        <v>1689</v>
      </c>
      <c r="F447" s="1045"/>
      <c r="G447" s="1048"/>
      <c r="H447" s="1100"/>
      <c r="I447" s="717">
        <f t="shared" si="15"/>
        <v>30000</v>
      </c>
      <c r="J447" s="717">
        <f t="shared" si="16"/>
        <v>20000</v>
      </c>
      <c r="K447" s="717">
        <v>50000</v>
      </c>
    </row>
    <row r="448" spans="1:11" s="510" customFormat="1" ht="75" hidden="1" customHeight="1">
      <c r="A448" s="1020" t="s">
        <v>1673</v>
      </c>
      <c r="B448" s="1022"/>
      <c r="C448" s="714" t="s">
        <v>1681</v>
      </c>
      <c r="D448" s="714">
        <v>2</v>
      </c>
      <c r="E448" s="725" t="s">
        <v>1690</v>
      </c>
      <c r="F448" s="1045"/>
      <c r="G448" s="1048"/>
      <c r="H448" s="1100"/>
      <c r="I448" s="717">
        <f t="shared" si="15"/>
        <v>18000</v>
      </c>
      <c r="J448" s="717">
        <f t="shared" si="16"/>
        <v>12000</v>
      </c>
      <c r="K448" s="717">
        <v>30000</v>
      </c>
    </row>
    <row r="449" spans="1:11" s="510" customFormat="1" ht="75" hidden="1" customHeight="1">
      <c r="A449" s="1020" t="s">
        <v>1674</v>
      </c>
      <c r="B449" s="1022"/>
      <c r="C449" s="714" t="s">
        <v>1682</v>
      </c>
      <c r="D449" s="714">
        <v>2</v>
      </c>
      <c r="E449" s="725" t="s">
        <v>1691</v>
      </c>
      <c r="F449" s="1045"/>
      <c r="G449" s="1048"/>
      <c r="H449" s="1100"/>
      <c r="I449" s="717">
        <f t="shared" si="15"/>
        <v>6000</v>
      </c>
      <c r="J449" s="717">
        <f t="shared" si="16"/>
        <v>4000</v>
      </c>
      <c r="K449" s="717">
        <v>10000</v>
      </c>
    </row>
    <row r="450" spans="1:11" s="510" customFormat="1" ht="75" hidden="1" customHeight="1">
      <c r="A450" s="1020" t="s">
        <v>1675</v>
      </c>
      <c r="B450" s="1022"/>
      <c r="C450" s="714" t="s">
        <v>1683</v>
      </c>
      <c r="D450" s="714">
        <v>1</v>
      </c>
      <c r="E450" s="725" t="s">
        <v>1692</v>
      </c>
      <c r="F450" s="1045"/>
      <c r="G450" s="1048"/>
      <c r="H450" s="1100"/>
      <c r="I450" s="717">
        <f t="shared" si="15"/>
        <v>4200</v>
      </c>
      <c r="J450" s="717">
        <f t="shared" si="16"/>
        <v>2800</v>
      </c>
      <c r="K450" s="717">
        <v>7000</v>
      </c>
    </row>
    <row r="451" spans="1:11" s="510" customFormat="1" ht="75" hidden="1" customHeight="1">
      <c r="A451" s="1020" t="s">
        <v>1676</v>
      </c>
      <c r="B451" s="1022"/>
      <c r="C451" s="714" t="s">
        <v>1682</v>
      </c>
      <c r="D451" s="744">
        <v>2</v>
      </c>
      <c r="E451" s="725" t="s">
        <v>1692</v>
      </c>
      <c r="F451" s="1046"/>
      <c r="G451" s="1049"/>
      <c r="H451" s="1101"/>
      <c r="I451" s="717">
        <f t="shared" si="15"/>
        <v>2400</v>
      </c>
      <c r="J451" s="717">
        <f t="shared" si="16"/>
        <v>1600</v>
      </c>
      <c r="K451" s="717">
        <v>4000</v>
      </c>
    </row>
    <row r="452" spans="1:11" ht="74.25" hidden="1" customHeight="1">
      <c r="A452" s="1011" t="s">
        <v>278</v>
      </c>
      <c r="B452" s="1013"/>
      <c r="C452" s="504"/>
      <c r="D452" s="709"/>
      <c r="E452" s="709"/>
      <c r="F452" s="708"/>
      <c r="G452" s="709"/>
      <c r="H452" s="710"/>
      <c r="I452" s="545">
        <f>SUM(I453)</f>
        <v>9000</v>
      </c>
      <c r="J452" s="545">
        <f>SUM(J453)</f>
        <v>6000</v>
      </c>
      <c r="K452" s="545">
        <f>I452+J452</f>
        <v>15000</v>
      </c>
    </row>
    <row r="453" spans="1:11" s="510" customFormat="1" ht="74.25" hidden="1" customHeight="1">
      <c r="A453" s="1020" t="s">
        <v>1595</v>
      </c>
      <c r="B453" s="1022"/>
      <c r="C453" s="714" t="s">
        <v>18</v>
      </c>
      <c r="D453" s="714">
        <v>30</v>
      </c>
      <c r="E453" s="725" t="s">
        <v>1693</v>
      </c>
      <c r="F453" s="777" t="s">
        <v>2234</v>
      </c>
      <c r="G453" s="711">
        <v>8100</v>
      </c>
      <c r="H453" s="794" t="s">
        <v>2445</v>
      </c>
      <c r="I453" s="717">
        <f>K453/100*60</f>
        <v>9000</v>
      </c>
      <c r="J453" s="717">
        <f>K453/100*40</f>
        <v>6000</v>
      </c>
      <c r="K453" s="717">
        <v>15000</v>
      </c>
    </row>
    <row r="454" spans="1:11" ht="73.5" hidden="1" customHeight="1">
      <c r="A454" s="1011" t="s">
        <v>312</v>
      </c>
      <c r="B454" s="1013"/>
      <c r="C454" s="709"/>
      <c r="D454" s="709"/>
      <c r="E454" s="709"/>
      <c r="F454" s="708"/>
      <c r="G454" s="709"/>
      <c r="H454" s="710"/>
      <c r="I454" s="545">
        <f>SUM(I455:I458)</f>
        <v>30790.2</v>
      </c>
      <c r="J454" s="545">
        <f>SUM(J455:J458)</f>
        <v>20526.8</v>
      </c>
      <c r="K454" s="545">
        <f>I454+J454</f>
        <v>51317</v>
      </c>
    </row>
    <row r="455" spans="1:11" s="510" customFormat="1" ht="74.25" hidden="1" customHeight="1">
      <c r="A455" s="1020" t="s">
        <v>1694</v>
      </c>
      <c r="B455" s="1022"/>
      <c r="C455" s="714" t="s">
        <v>1698</v>
      </c>
      <c r="D455" s="714">
        <v>2</v>
      </c>
      <c r="E455" s="725" t="s">
        <v>1692</v>
      </c>
      <c r="F455" s="1044" t="s">
        <v>2224</v>
      </c>
      <c r="G455" s="1047">
        <v>8100</v>
      </c>
      <c r="H455" s="1099" t="s">
        <v>2273</v>
      </c>
      <c r="I455" s="717">
        <f>K455/100*60</f>
        <v>6000</v>
      </c>
      <c r="J455" s="717">
        <f>K455/100*40</f>
        <v>4000</v>
      </c>
      <c r="K455" s="717">
        <v>10000</v>
      </c>
    </row>
    <row r="456" spans="1:11" s="510" customFormat="1" ht="74.25" hidden="1" customHeight="1">
      <c r="A456" s="1020" t="s">
        <v>1695</v>
      </c>
      <c r="B456" s="1022"/>
      <c r="C456" s="714" t="s">
        <v>1699</v>
      </c>
      <c r="D456" s="714">
        <v>2</v>
      </c>
      <c r="E456" s="725" t="s">
        <v>1701</v>
      </c>
      <c r="F456" s="1045"/>
      <c r="G456" s="1048"/>
      <c r="H456" s="1100"/>
      <c r="I456" s="717">
        <f>K456/100*60</f>
        <v>6600</v>
      </c>
      <c r="J456" s="717">
        <f>K456/100*40</f>
        <v>4400</v>
      </c>
      <c r="K456" s="717">
        <v>11000</v>
      </c>
    </row>
    <row r="457" spans="1:11" s="510" customFormat="1" ht="74.25" hidden="1" customHeight="1">
      <c r="A457" s="1020" t="s">
        <v>1696</v>
      </c>
      <c r="B457" s="1022"/>
      <c r="C457" s="714" t="s">
        <v>1700</v>
      </c>
      <c r="D457" s="714">
        <v>2</v>
      </c>
      <c r="E457" s="725" t="s">
        <v>1702</v>
      </c>
      <c r="F457" s="1045"/>
      <c r="G457" s="1048"/>
      <c r="H457" s="1100"/>
      <c r="I457" s="717">
        <f>K457/100*60</f>
        <v>12000</v>
      </c>
      <c r="J457" s="717">
        <f>K457/100*40</f>
        <v>8000</v>
      </c>
      <c r="K457" s="717">
        <v>20000</v>
      </c>
    </row>
    <row r="458" spans="1:11" s="510" customFormat="1" ht="74.25" hidden="1" customHeight="1">
      <c r="A458" s="1020" t="s">
        <v>1697</v>
      </c>
      <c r="B458" s="1022"/>
      <c r="C458" s="714" t="s">
        <v>1698</v>
      </c>
      <c r="D458" s="714">
        <v>2</v>
      </c>
      <c r="E458" s="725" t="s">
        <v>1703</v>
      </c>
      <c r="F458" s="1046"/>
      <c r="G458" s="1049"/>
      <c r="H458" s="1101"/>
      <c r="I458" s="717">
        <f>K458/100*60</f>
        <v>6190.2</v>
      </c>
      <c r="J458" s="717">
        <f>K458/100*40</f>
        <v>4126.8</v>
      </c>
      <c r="K458" s="717">
        <v>10317</v>
      </c>
    </row>
    <row r="459" spans="1:11" s="510" customFormat="1" ht="74.25" hidden="1" customHeight="1">
      <c r="A459" s="753"/>
      <c r="B459" s="753"/>
      <c r="C459" s="754"/>
      <c r="D459" s="754"/>
      <c r="E459" s="759"/>
      <c r="F459" s="755"/>
      <c r="G459" s="758"/>
      <c r="H459" s="756"/>
      <c r="I459" s="757"/>
      <c r="J459" s="757"/>
      <c r="K459" s="757"/>
    </row>
    <row r="460" spans="1:11" s="510" customFormat="1" ht="74.25" hidden="1" customHeight="1">
      <c r="A460" s="753"/>
      <c r="B460" s="753"/>
      <c r="C460" s="754"/>
      <c r="D460" s="754"/>
      <c r="E460" s="759"/>
      <c r="F460" s="755"/>
      <c r="G460" s="758"/>
      <c r="H460" s="756"/>
      <c r="I460" s="757"/>
      <c r="J460" s="757"/>
      <c r="K460" s="757"/>
    </row>
    <row r="461" spans="1:11" s="510" customFormat="1" ht="74.25" hidden="1" customHeight="1">
      <c r="A461" s="753"/>
      <c r="B461" s="753"/>
      <c r="C461" s="754"/>
      <c r="D461" s="754"/>
      <c r="E461" s="759"/>
      <c r="F461" s="755"/>
      <c r="G461" s="758"/>
      <c r="H461" s="756"/>
      <c r="I461" s="757"/>
      <c r="J461" s="757"/>
      <c r="K461" s="757"/>
    </row>
    <row r="462" spans="1:11" s="510" customFormat="1" ht="74.25" hidden="1" customHeight="1">
      <c r="A462" s="753"/>
      <c r="B462" s="753"/>
      <c r="C462" s="754"/>
      <c r="D462" s="754"/>
      <c r="E462" s="759"/>
      <c r="F462" s="755"/>
      <c r="G462" s="758"/>
      <c r="H462" s="756"/>
      <c r="I462" s="757"/>
      <c r="J462" s="757"/>
      <c r="K462" s="757"/>
    </row>
    <row r="463" spans="1:11" s="510" customFormat="1" ht="74.25" hidden="1" customHeight="1">
      <c r="A463" s="753"/>
      <c r="B463" s="753"/>
      <c r="C463" s="754"/>
      <c r="D463" s="754"/>
      <c r="E463" s="759"/>
      <c r="F463" s="755"/>
      <c r="G463" s="758"/>
      <c r="H463" s="756"/>
      <c r="I463" s="757"/>
      <c r="J463" s="757"/>
      <c r="K463" s="757"/>
    </row>
    <row r="464" spans="1:11" s="510" customFormat="1" ht="74.25" hidden="1" customHeight="1">
      <c r="A464" s="753"/>
      <c r="B464" s="753"/>
      <c r="C464" s="754"/>
      <c r="D464" s="754"/>
      <c r="E464" s="759"/>
      <c r="F464" s="755"/>
      <c r="G464" s="758"/>
      <c r="H464" s="756"/>
      <c r="I464" s="757"/>
      <c r="J464" s="757"/>
      <c r="K464" s="757"/>
    </row>
    <row r="465" spans="1:11" s="510" customFormat="1" ht="74.25" hidden="1" customHeight="1">
      <c r="A465" s="753"/>
      <c r="B465" s="753"/>
      <c r="C465" s="754"/>
      <c r="D465" s="754"/>
      <c r="E465" s="759"/>
      <c r="F465" s="755"/>
      <c r="G465" s="758"/>
      <c r="H465" s="756"/>
      <c r="I465" s="757"/>
      <c r="J465" s="757"/>
      <c r="K465" s="757"/>
    </row>
    <row r="466" spans="1:11" s="510" customFormat="1" ht="74.25" hidden="1" customHeight="1">
      <c r="A466" s="753"/>
      <c r="B466" s="753"/>
      <c r="C466" s="754"/>
      <c r="D466" s="754"/>
      <c r="E466" s="759"/>
      <c r="F466" s="755"/>
      <c r="G466" s="758"/>
      <c r="H466" s="756"/>
      <c r="I466" s="757"/>
      <c r="J466" s="757"/>
      <c r="K466" s="757"/>
    </row>
    <row r="467" spans="1:11" s="510" customFormat="1" ht="74.25" hidden="1" customHeight="1">
      <c r="A467" s="753"/>
      <c r="B467" s="753"/>
      <c r="C467" s="754"/>
      <c r="D467" s="754"/>
      <c r="E467" s="759"/>
      <c r="F467" s="755"/>
      <c r="G467" s="758"/>
      <c r="H467" s="756"/>
      <c r="I467" s="757"/>
      <c r="J467" s="757"/>
      <c r="K467" s="757"/>
    </row>
    <row r="468" spans="1:11" s="510" customFormat="1" ht="74.25" hidden="1" customHeight="1">
      <c r="A468" s="753"/>
      <c r="B468" s="753"/>
      <c r="C468" s="754"/>
      <c r="D468" s="754"/>
      <c r="E468" s="759"/>
      <c r="F468" s="755"/>
      <c r="G468" s="758"/>
      <c r="H468" s="756"/>
      <c r="I468" s="757"/>
      <c r="J468" s="757"/>
      <c r="K468" s="757"/>
    </row>
    <row r="469" spans="1:11" s="510" customFormat="1" ht="74.25" hidden="1" customHeight="1">
      <c r="A469" s="753"/>
      <c r="B469" s="753"/>
      <c r="C469" s="754"/>
      <c r="D469" s="754"/>
      <c r="E469" s="759"/>
      <c r="F469" s="755"/>
      <c r="G469" s="758"/>
      <c r="H469" s="756"/>
      <c r="I469" s="757"/>
      <c r="J469" s="757"/>
      <c r="K469" s="757"/>
    </row>
    <row r="470" spans="1:11" ht="34.5" hidden="1" customHeight="1">
      <c r="A470" s="1128" t="s">
        <v>51</v>
      </c>
      <c r="B470" s="1128"/>
      <c r="C470" s="1128"/>
      <c r="D470" s="1128"/>
      <c r="E470" s="1128"/>
      <c r="F470" s="1128"/>
      <c r="G470" s="1128"/>
      <c r="H470" s="1128"/>
      <c r="I470" s="1128"/>
      <c r="J470" s="1128"/>
      <c r="K470" s="1128"/>
    </row>
    <row r="471" spans="1:11" ht="30.75" hidden="1" customHeight="1">
      <c r="A471" s="1128" t="s">
        <v>52</v>
      </c>
      <c r="B471" s="1128"/>
      <c r="C471" s="1128"/>
      <c r="D471" s="1128"/>
      <c r="E471" s="1128"/>
      <c r="F471" s="1128"/>
      <c r="G471" s="1128"/>
      <c r="H471" s="1128"/>
      <c r="I471" s="1128"/>
      <c r="J471" s="1128"/>
      <c r="K471" s="1128"/>
    </row>
    <row r="472" spans="1:11" ht="33" hidden="1" customHeight="1">
      <c r="A472" s="1132" t="s">
        <v>50</v>
      </c>
      <c r="B472" s="1132"/>
      <c r="C472" s="1132"/>
      <c r="D472" s="1132"/>
      <c r="E472" s="1132"/>
      <c r="F472" s="1132"/>
      <c r="G472" s="1132"/>
      <c r="H472" s="1132"/>
      <c r="I472" s="1132"/>
      <c r="J472" s="1132"/>
      <c r="K472" s="1132"/>
    </row>
    <row r="473" spans="1:11" ht="33" hidden="1" customHeight="1">
      <c r="A473" s="154"/>
      <c r="B473" s="154"/>
      <c r="C473" s="154"/>
      <c r="D473" s="154"/>
      <c r="E473" s="154"/>
      <c r="F473" s="154"/>
      <c r="G473" s="707"/>
      <c r="H473" s="707"/>
      <c r="I473" s="707"/>
      <c r="J473" s="707"/>
      <c r="K473" s="707"/>
    </row>
    <row r="474" spans="1:11" ht="35.25" hidden="1">
      <c r="A474" s="1128" t="s">
        <v>1489</v>
      </c>
      <c r="B474" s="1128"/>
      <c r="C474" s="1128"/>
      <c r="D474" s="1128"/>
      <c r="E474" s="1128"/>
      <c r="F474" s="1128"/>
      <c r="G474" s="1128"/>
      <c r="H474" s="1128"/>
      <c r="I474" s="1128"/>
      <c r="J474" s="1128"/>
      <c r="K474" s="1128"/>
    </row>
    <row r="475" spans="1:11" s="620" customFormat="1" ht="33" hidden="1">
      <c r="A475" s="65"/>
      <c r="B475" s="65"/>
      <c r="C475" s="65"/>
      <c r="D475" s="65"/>
      <c r="E475" s="65"/>
      <c r="F475" s="65"/>
      <c r="G475" s="68"/>
      <c r="H475" s="68"/>
      <c r="I475" s="68"/>
      <c r="J475" s="68"/>
      <c r="K475" s="68"/>
    </row>
    <row r="476" spans="1:11" ht="20.100000000000001" hidden="1" customHeight="1">
      <c r="A476" s="65"/>
      <c r="B476" s="65"/>
      <c r="C476" s="65"/>
      <c r="D476" s="65"/>
      <c r="E476" s="65"/>
      <c r="F476" s="65"/>
      <c r="G476" s="68"/>
      <c r="H476" s="68"/>
      <c r="I476" s="68"/>
      <c r="J476" s="68"/>
      <c r="K476" s="68"/>
    </row>
    <row r="477" spans="1:11" ht="20.100000000000001" hidden="1" customHeight="1">
      <c r="A477" s="979"/>
      <c r="B477" s="979"/>
      <c r="C477" s="979"/>
      <c r="D477" s="979"/>
      <c r="E477" s="979"/>
      <c r="F477" s="979"/>
      <c r="G477" s="979"/>
      <c r="H477" s="979"/>
      <c r="I477" s="979"/>
      <c r="J477" s="979"/>
      <c r="K477" s="979"/>
    </row>
    <row r="478" spans="1:11" ht="45.75" hidden="1" customHeight="1">
      <c r="A478" s="1030" t="s">
        <v>1381</v>
      </c>
      <c r="B478" s="1030"/>
      <c r="C478" s="1030"/>
      <c r="D478" s="1030"/>
      <c r="E478" s="1030"/>
      <c r="F478" s="1030"/>
      <c r="G478" s="1030"/>
      <c r="H478" s="1030"/>
      <c r="I478" s="1030"/>
      <c r="J478" s="1030"/>
      <c r="K478" s="1030"/>
    </row>
    <row r="479" spans="1:11" ht="66" hidden="1" customHeight="1">
      <c r="A479" s="1039" t="s">
        <v>37</v>
      </c>
      <c r="B479" s="1039"/>
      <c r="C479" s="1039" t="s">
        <v>178</v>
      </c>
      <c r="D479" s="1039" t="s">
        <v>179</v>
      </c>
      <c r="E479" s="1039" t="s">
        <v>1521</v>
      </c>
      <c r="F479" s="1039" t="s">
        <v>14</v>
      </c>
      <c r="G479" s="1039" t="s">
        <v>1515</v>
      </c>
      <c r="H479" s="1039" t="s">
        <v>16</v>
      </c>
      <c r="I479" s="1039" t="s">
        <v>1490</v>
      </c>
      <c r="J479" s="1039" t="s">
        <v>2203</v>
      </c>
      <c r="K479" s="1039" t="s">
        <v>200</v>
      </c>
    </row>
    <row r="480" spans="1:11" s="500" customFormat="1" ht="30" hidden="1">
      <c r="A480" s="1039"/>
      <c r="B480" s="1039"/>
      <c r="C480" s="1039"/>
      <c r="D480" s="1039"/>
      <c r="E480" s="1039"/>
      <c r="F480" s="1039"/>
      <c r="G480" s="1039"/>
      <c r="H480" s="1039"/>
      <c r="I480" s="1039"/>
      <c r="J480" s="1039"/>
      <c r="K480" s="1039"/>
    </row>
    <row r="481" spans="1:11" s="500" customFormat="1" ht="74.25" hidden="1" customHeight="1">
      <c r="A481" s="1102" t="s">
        <v>1618</v>
      </c>
      <c r="B481" s="1103"/>
      <c r="C481" s="729"/>
      <c r="D481" s="729"/>
      <c r="E481" s="726"/>
      <c r="F481" s="727"/>
      <c r="G481" s="728"/>
      <c r="H481" s="728"/>
      <c r="I481" s="642">
        <f>I482+I488+I490</f>
        <v>217060.8</v>
      </c>
      <c r="J481" s="642">
        <f>J482+J488+J490</f>
        <v>144707.20000000001</v>
      </c>
      <c r="K481" s="642">
        <f>I481+J481</f>
        <v>361768</v>
      </c>
    </row>
    <row r="482" spans="1:11" ht="75" hidden="1" customHeight="1">
      <c r="A482" s="1011" t="s">
        <v>1541</v>
      </c>
      <c r="B482" s="1013"/>
      <c r="C482" s="709"/>
      <c r="D482" s="709"/>
      <c r="E482" s="709"/>
      <c r="F482" s="708"/>
      <c r="G482" s="709"/>
      <c r="H482" s="710"/>
      <c r="I482" s="545">
        <f>SUM(I483:I487)</f>
        <v>210460.79999999999</v>
      </c>
      <c r="J482" s="545">
        <f>SUM(J483:J487)</f>
        <v>140307.20000000001</v>
      </c>
      <c r="K482" s="545">
        <f>I482+J482</f>
        <v>350768</v>
      </c>
    </row>
    <row r="483" spans="1:11" s="510" customFormat="1" ht="74.25" hidden="1" customHeight="1">
      <c r="A483" s="1020" t="s">
        <v>1629</v>
      </c>
      <c r="B483" s="1022"/>
      <c r="C483" s="714" t="s">
        <v>1619</v>
      </c>
      <c r="D483" s="714">
        <v>40</v>
      </c>
      <c r="E483" s="725" t="s">
        <v>1620</v>
      </c>
      <c r="F483" s="777" t="s">
        <v>2229</v>
      </c>
      <c r="G483" s="1047">
        <v>8100</v>
      </c>
      <c r="H483" s="1099" t="s">
        <v>2273</v>
      </c>
      <c r="I483" s="717">
        <f>K483/100*60</f>
        <v>93133.2</v>
      </c>
      <c r="J483" s="717">
        <f>K483/100*40</f>
        <v>62088.800000000003</v>
      </c>
      <c r="K483" s="717">
        <v>155222</v>
      </c>
    </row>
    <row r="484" spans="1:11" s="510" customFormat="1" ht="75" hidden="1" customHeight="1">
      <c r="A484" s="1020" t="s">
        <v>1630</v>
      </c>
      <c r="B484" s="1022"/>
      <c r="C484" s="714" t="s">
        <v>1621</v>
      </c>
      <c r="D484" s="714">
        <v>9</v>
      </c>
      <c r="E484" s="725" t="s">
        <v>1622</v>
      </c>
      <c r="F484" s="778" t="s">
        <v>2236</v>
      </c>
      <c r="G484" s="1048"/>
      <c r="H484" s="1100"/>
      <c r="I484" s="717">
        <f>K484/100*60</f>
        <v>24998.399999999998</v>
      </c>
      <c r="J484" s="717">
        <f>K484/100*40</f>
        <v>16665.599999999999</v>
      </c>
      <c r="K484" s="717">
        <v>41664</v>
      </c>
    </row>
    <row r="485" spans="1:11" s="510" customFormat="1" ht="75" hidden="1" customHeight="1">
      <c r="A485" s="1020" t="s">
        <v>1606</v>
      </c>
      <c r="B485" s="1022"/>
      <c r="C485" s="714" t="s">
        <v>1623</v>
      </c>
      <c r="D485" s="714">
        <v>40</v>
      </c>
      <c r="E485" s="725" t="s">
        <v>1624</v>
      </c>
      <c r="F485" s="776" t="s">
        <v>2230</v>
      </c>
      <c r="G485" s="1048"/>
      <c r="H485" s="1100"/>
      <c r="I485" s="717">
        <f>K485/100*60</f>
        <v>36000</v>
      </c>
      <c r="J485" s="717">
        <f>K485/100*40</f>
        <v>24000</v>
      </c>
      <c r="K485" s="717">
        <v>60000</v>
      </c>
    </row>
    <row r="486" spans="1:11" s="510" customFormat="1" ht="75" hidden="1" customHeight="1">
      <c r="A486" s="1020" t="s">
        <v>1631</v>
      </c>
      <c r="B486" s="1022"/>
      <c r="C486" s="714" t="s">
        <v>245</v>
      </c>
      <c r="D486" s="714">
        <v>4</v>
      </c>
      <c r="E486" s="725" t="s">
        <v>1625</v>
      </c>
      <c r="F486" s="1044" t="s">
        <v>2231</v>
      </c>
      <c r="G486" s="1048"/>
      <c r="H486" s="1100"/>
      <c r="I486" s="717">
        <f>K486/100*60</f>
        <v>35329.200000000004</v>
      </c>
      <c r="J486" s="717">
        <f>K486/100*40</f>
        <v>23552.800000000003</v>
      </c>
      <c r="K486" s="717">
        <v>58882</v>
      </c>
    </row>
    <row r="487" spans="1:11" s="510" customFormat="1" ht="75" hidden="1" customHeight="1">
      <c r="A487" s="1020" t="s">
        <v>1632</v>
      </c>
      <c r="B487" s="1022"/>
      <c r="C487" s="714" t="s">
        <v>216</v>
      </c>
      <c r="D487" s="714">
        <v>100</v>
      </c>
      <c r="E487" s="725" t="s">
        <v>1625</v>
      </c>
      <c r="F487" s="1046"/>
      <c r="G487" s="1049"/>
      <c r="H487" s="1101"/>
      <c r="I487" s="717">
        <f>K487/100*60</f>
        <v>21000</v>
      </c>
      <c r="J487" s="717">
        <f>K487/100*40</f>
        <v>14000</v>
      </c>
      <c r="K487" s="717">
        <v>35000</v>
      </c>
    </row>
    <row r="488" spans="1:11" ht="74.25" hidden="1" customHeight="1">
      <c r="A488" s="1011" t="s">
        <v>278</v>
      </c>
      <c r="B488" s="1013"/>
      <c r="C488" s="504"/>
      <c r="D488" s="709"/>
      <c r="E488" s="709"/>
      <c r="F488" s="708"/>
      <c r="G488" s="709"/>
      <c r="H488" s="710"/>
      <c r="I488" s="545">
        <f>SUM(I489)</f>
        <v>3600</v>
      </c>
      <c r="J488" s="545">
        <f>SUM(J489)</f>
        <v>2400</v>
      </c>
      <c r="K488" s="545">
        <f>I488+J488</f>
        <v>6000</v>
      </c>
    </row>
    <row r="489" spans="1:11" s="510" customFormat="1" ht="74.25" hidden="1" customHeight="1">
      <c r="A489" s="1020" t="s">
        <v>1627</v>
      </c>
      <c r="B489" s="1022"/>
      <c r="C489" s="714" t="s">
        <v>1215</v>
      </c>
      <c r="D489" s="714">
        <v>10</v>
      </c>
      <c r="E489" s="725" t="s">
        <v>1626</v>
      </c>
      <c r="F489" s="777" t="s">
        <v>2234</v>
      </c>
      <c r="G489" s="711">
        <v>8100</v>
      </c>
      <c r="H489" s="794" t="s">
        <v>2445</v>
      </c>
      <c r="I489" s="717">
        <f>K489/100*60</f>
        <v>3600</v>
      </c>
      <c r="J489" s="717">
        <f>K489/100*40</f>
        <v>2400</v>
      </c>
      <c r="K489" s="717">
        <v>6000</v>
      </c>
    </row>
    <row r="490" spans="1:11" ht="73.5" hidden="1" customHeight="1">
      <c r="A490" s="1011" t="s">
        <v>312</v>
      </c>
      <c r="B490" s="1013"/>
      <c r="C490" s="709"/>
      <c r="D490" s="709"/>
      <c r="E490" s="709"/>
      <c r="F490" s="708"/>
      <c r="G490" s="709"/>
      <c r="H490" s="710"/>
      <c r="I490" s="545">
        <f>SUM(I491:I491)</f>
        <v>3000</v>
      </c>
      <c r="J490" s="545">
        <f>SUM(J491:J491)</f>
        <v>2000</v>
      </c>
      <c r="K490" s="545">
        <f>SUM(K491:K491)</f>
        <v>5000</v>
      </c>
    </row>
    <row r="491" spans="1:11" s="510" customFormat="1" ht="74.25" hidden="1" customHeight="1">
      <c r="A491" s="1020" t="s">
        <v>1555</v>
      </c>
      <c r="B491" s="1022"/>
      <c r="C491" s="714" t="s">
        <v>1623</v>
      </c>
      <c r="D491" s="714">
        <v>20</v>
      </c>
      <c r="E491" s="725" t="s">
        <v>1628</v>
      </c>
      <c r="F491" s="777" t="s">
        <v>2224</v>
      </c>
      <c r="G491" s="745">
        <v>8100</v>
      </c>
      <c r="H491" s="782" t="s">
        <v>2273</v>
      </c>
      <c r="I491" s="717">
        <f>K491/100*60</f>
        <v>3000</v>
      </c>
      <c r="J491" s="717">
        <f>K491/100*40</f>
        <v>2000</v>
      </c>
      <c r="K491" s="717">
        <v>5000</v>
      </c>
    </row>
    <row r="492" spans="1:11" s="743" customFormat="1" ht="36.75" hidden="1" customHeight="1">
      <c r="A492" s="1135"/>
      <c r="B492" s="1136"/>
      <c r="C492" s="738"/>
      <c r="D492" s="738"/>
      <c r="E492" s="739"/>
      <c r="F492" s="740"/>
      <c r="G492" s="741"/>
      <c r="H492" s="741"/>
      <c r="I492" s="742"/>
      <c r="J492" s="742"/>
      <c r="K492" s="742"/>
    </row>
    <row r="493" spans="1:11" ht="66" hidden="1" customHeight="1">
      <c r="A493" s="1031" t="s">
        <v>37</v>
      </c>
      <c r="B493" s="1033"/>
      <c r="C493" s="1037" t="s">
        <v>178</v>
      </c>
      <c r="D493" s="1037" t="s">
        <v>179</v>
      </c>
      <c r="E493" s="1037" t="s">
        <v>1521</v>
      </c>
      <c r="F493" s="1037" t="s">
        <v>14</v>
      </c>
      <c r="G493" s="1037" t="s">
        <v>1515</v>
      </c>
      <c r="H493" s="1037" t="s">
        <v>16</v>
      </c>
      <c r="I493" s="1039" t="s">
        <v>1490</v>
      </c>
      <c r="J493" s="1039" t="s">
        <v>2203</v>
      </c>
      <c r="K493" s="1037" t="s">
        <v>200</v>
      </c>
    </row>
    <row r="494" spans="1:11" s="500" customFormat="1" ht="30" hidden="1">
      <c r="A494" s="1034"/>
      <c r="B494" s="1036"/>
      <c r="C494" s="1038"/>
      <c r="D494" s="1038"/>
      <c r="E494" s="1038"/>
      <c r="F494" s="1038"/>
      <c r="G494" s="1038"/>
      <c r="H494" s="1038"/>
      <c r="I494" s="1039"/>
      <c r="J494" s="1039"/>
      <c r="K494" s="1038"/>
    </row>
    <row r="495" spans="1:11" s="500" customFormat="1" ht="74.25" hidden="1" customHeight="1">
      <c r="A495" s="1102" t="s">
        <v>1530</v>
      </c>
      <c r="B495" s="1103"/>
      <c r="C495" s="729"/>
      <c r="D495" s="729"/>
      <c r="E495" s="726"/>
      <c r="F495" s="727"/>
      <c r="G495" s="728"/>
      <c r="H495" s="728"/>
      <c r="I495" s="642">
        <f>I496+I498</f>
        <v>567863.4</v>
      </c>
      <c r="J495" s="642">
        <f>J496+J498</f>
        <v>378575.6</v>
      </c>
      <c r="K495" s="642">
        <f>I495+J495</f>
        <v>946439</v>
      </c>
    </row>
    <row r="496" spans="1:11" s="579" customFormat="1" ht="73.5" hidden="1" customHeight="1">
      <c r="A496" s="1011" t="s">
        <v>2251</v>
      </c>
      <c r="B496" s="1013"/>
      <c r="C496" s="709"/>
      <c r="D496" s="709"/>
      <c r="E496" s="709"/>
      <c r="F496" s="708"/>
      <c r="G496" s="709"/>
      <c r="H496" s="710"/>
      <c r="I496" s="545">
        <f>I497</f>
        <v>72000</v>
      </c>
      <c r="J496" s="545">
        <f>J497</f>
        <v>48000</v>
      </c>
      <c r="K496" s="545">
        <f>I496+J496</f>
        <v>120000</v>
      </c>
    </row>
    <row r="497" spans="1:11" s="510" customFormat="1" ht="74.25" hidden="1" customHeight="1">
      <c r="A497" s="1020" t="s">
        <v>1528</v>
      </c>
      <c r="B497" s="1022"/>
      <c r="C497" s="714" t="s">
        <v>147</v>
      </c>
      <c r="D497" s="714">
        <v>160</v>
      </c>
      <c r="E497" s="725" t="s">
        <v>1516</v>
      </c>
      <c r="F497" s="780" t="s">
        <v>2257</v>
      </c>
      <c r="G497" s="711">
        <v>8100</v>
      </c>
      <c r="H497" s="783" t="s">
        <v>2273</v>
      </c>
      <c r="I497" s="717">
        <f>K497/100*60</f>
        <v>72000</v>
      </c>
      <c r="J497" s="717">
        <f>K497/100*40</f>
        <v>48000</v>
      </c>
      <c r="K497" s="717">
        <v>120000</v>
      </c>
    </row>
    <row r="498" spans="1:11" ht="75" hidden="1" customHeight="1">
      <c r="A498" s="1011" t="s">
        <v>1541</v>
      </c>
      <c r="B498" s="1013"/>
      <c r="C498" s="709"/>
      <c r="D498" s="709"/>
      <c r="E498" s="709"/>
      <c r="F498" s="708"/>
      <c r="G498" s="709"/>
      <c r="H498" s="710"/>
      <c r="I498" s="545">
        <f>SUM(I499:I502)</f>
        <v>495863.4</v>
      </c>
      <c r="J498" s="545">
        <f>SUM(J499:J502)</f>
        <v>330575.59999999998</v>
      </c>
      <c r="K498" s="545">
        <f>I498+J498</f>
        <v>826439</v>
      </c>
    </row>
    <row r="499" spans="1:11" s="510" customFormat="1" ht="75" hidden="1" customHeight="1">
      <c r="A499" s="1020" t="s">
        <v>1529</v>
      </c>
      <c r="B499" s="1022"/>
      <c r="C499" s="714" t="s">
        <v>1534</v>
      </c>
      <c r="D499" s="714">
        <v>120</v>
      </c>
      <c r="E499" s="725" t="s">
        <v>1536</v>
      </c>
      <c r="F499" s="776" t="s">
        <v>2230</v>
      </c>
      <c r="G499" s="1047">
        <v>8100</v>
      </c>
      <c r="H499" s="1099" t="s">
        <v>2273</v>
      </c>
      <c r="I499" s="717">
        <f>K499/100*60</f>
        <v>180000</v>
      </c>
      <c r="J499" s="717">
        <f>K499/100*40</f>
        <v>120000</v>
      </c>
      <c r="K499" s="717">
        <v>300000</v>
      </c>
    </row>
    <row r="500" spans="1:11" s="510" customFormat="1" ht="74.25" hidden="1" customHeight="1">
      <c r="A500" s="1020" t="s">
        <v>1532</v>
      </c>
      <c r="B500" s="1022"/>
      <c r="C500" s="714" t="s">
        <v>1533</v>
      </c>
      <c r="D500" s="714">
        <v>200</v>
      </c>
      <c r="E500" s="725" t="s">
        <v>1535</v>
      </c>
      <c r="F500" s="1044" t="s">
        <v>2231</v>
      </c>
      <c r="G500" s="1048"/>
      <c r="H500" s="1100"/>
      <c r="I500" s="717">
        <f>K500/100*60</f>
        <v>267335.40000000002</v>
      </c>
      <c r="J500" s="717">
        <f>K500/100*40</f>
        <v>178223.6</v>
      </c>
      <c r="K500" s="717">
        <v>445559</v>
      </c>
    </row>
    <row r="501" spans="1:11" s="510" customFormat="1" ht="75" hidden="1" customHeight="1">
      <c r="A501" s="1020" t="s">
        <v>1531</v>
      </c>
      <c r="B501" s="1022"/>
      <c r="C501" s="714" t="s">
        <v>1533</v>
      </c>
      <c r="D501" s="714">
        <v>328</v>
      </c>
      <c r="E501" s="725" t="s">
        <v>1537</v>
      </c>
      <c r="F501" s="1045"/>
      <c r="G501" s="1048"/>
      <c r="H501" s="1100"/>
      <c r="I501" s="717">
        <f>K501/100*60</f>
        <v>30000</v>
      </c>
      <c r="J501" s="717">
        <f>K501/100*40</f>
        <v>20000</v>
      </c>
      <c r="K501" s="717">
        <v>50000</v>
      </c>
    </row>
    <row r="502" spans="1:11" s="510" customFormat="1" ht="75" hidden="1" customHeight="1">
      <c r="A502" s="1020" t="s">
        <v>1538</v>
      </c>
      <c r="B502" s="1022"/>
      <c r="C502" s="714" t="s">
        <v>1539</v>
      </c>
      <c r="D502" s="714">
        <v>38</v>
      </c>
      <c r="E502" s="725" t="s">
        <v>1540</v>
      </c>
      <c r="F502" s="1046"/>
      <c r="G502" s="1049"/>
      <c r="H502" s="1101"/>
      <c r="I502" s="717">
        <f>K502/100*60</f>
        <v>18528</v>
      </c>
      <c r="J502" s="717">
        <f>K502/100*40</f>
        <v>12352</v>
      </c>
      <c r="K502" s="717">
        <v>30880</v>
      </c>
    </row>
    <row r="503" spans="1:11" s="510" customFormat="1" ht="75" hidden="1" customHeight="1">
      <c r="A503" s="753"/>
      <c r="B503" s="753"/>
      <c r="C503" s="754"/>
      <c r="D503" s="754"/>
      <c r="E503" s="759"/>
      <c r="F503" s="755"/>
      <c r="G503" s="758"/>
      <c r="H503" s="756"/>
      <c r="I503" s="757"/>
      <c r="J503" s="757"/>
      <c r="K503" s="757"/>
    </row>
    <row r="504" spans="1:11" s="510" customFormat="1" ht="75" hidden="1" customHeight="1">
      <c r="A504" s="753"/>
      <c r="B504" s="753"/>
      <c r="C504" s="754"/>
      <c r="D504" s="754"/>
      <c r="E504" s="759"/>
      <c r="F504" s="755"/>
      <c r="G504" s="758"/>
      <c r="H504" s="756"/>
      <c r="I504" s="757"/>
      <c r="J504" s="757"/>
      <c r="K504" s="757"/>
    </row>
    <row r="505" spans="1:11" ht="34.5" hidden="1" customHeight="1">
      <c r="A505" s="1128" t="s">
        <v>51</v>
      </c>
      <c r="B505" s="1128"/>
      <c r="C505" s="1128"/>
      <c r="D505" s="1128"/>
      <c r="E505" s="1128"/>
      <c r="F505" s="1128"/>
      <c r="G505" s="1128"/>
      <c r="H505" s="1128"/>
      <c r="I505" s="1128"/>
      <c r="J505" s="1128"/>
      <c r="K505" s="1128"/>
    </row>
    <row r="506" spans="1:11" ht="30.75" hidden="1" customHeight="1">
      <c r="A506" s="1128" t="s">
        <v>52</v>
      </c>
      <c r="B506" s="1128"/>
      <c r="C506" s="1128"/>
      <c r="D506" s="1128"/>
      <c r="E506" s="1128"/>
      <c r="F506" s="1128"/>
      <c r="G506" s="1128"/>
      <c r="H506" s="1128"/>
      <c r="I506" s="1128"/>
      <c r="J506" s="1128"/>
      <c r="K506" s="1128"/>
    </row>
    <row r="507" spans="1:11" ht="33" hidden="1" customHeight="1">
      <c r="A507" s="1132" t="s">
        <v>50</v>
      </c>
      <c r="B507" s="1132"/>
      <c r="C507" s="1132"/>
      <c r="D507" s="1132"/>
      <c r="E507" s="1132"/>
      <c r="F507" s="1132"/>
      <c r="G507" s="1132"/>
      <c r="H507" s="1132"/>
      <c r="I507" s="1132"/>
      <c r="J507" s="1132"/>
      <c r="K507" s="1132"/>
    </row>
    <row r="508" spans="1:11" ht="33" hidden="1" customHeight="1">
      <c r="A508" s="154"/>
      <c r="B508" s="154"/>
      <c r="C508" s="154"/>
      <c r="D508" s="154"/>
      <c r="E508" s="154"/>
      <c r="F508" s="154"/>
      <c r="G508" s="707"/>
      <c r="H508" s="707"/>
      <c r="I508" s="707"/>
      <c r="J508" s="707"/>
      <c r="K508" s="707"/>
    </row>
    <row r="509" spans="1:11" ht="35.25" hidden="1">
      <c r="A509" s="1128" t="s">
        <v>1336</v>
      </c>
      <c r="B509" s="1128"/>
      <c r="C509" s="1128"/>
      <c r="D509" s="1128"/>
      <c r="E509" s="1128"/>
      <c r="F509" s="1128"/>
      <c r="G509" s="1128"/>
      <c r="H509" s="1128"/>
      <c r="I509" s="1128"/>
      <c r="J509" s="1128"/>
      <c r="K509" s="1128"/>
    </row>
    <row r="510" spans="1:11" s="620" customFormat="1" ht="33" hidden="1">
      <c r="A510" s="65"/>
      <c r="B510" s="65"/>
      <c r="C510" s="65"/>
      <c r="D510" s="65"/>
      <c r="E510" s="65"/>
      <c r="F510" s="65"/>
      <c r="G510" s="68"/>
      <c r="H510" s="68"/>
      <c r="I510" s="68"/>
      <c r="J510" s="68"/>
      <c r="K510" s="68"/>
    </row>
    <row r="511" spans="1:11" ht="20.100000000000001" hidden="1" customHeight="1">
      <c r="A511" s="65"/>
      <c r="B511" s="65"/>
      <c r="C511" s="65"/>
      <c r="D511" s="65"/>
      <c r="E511" s="65"/>
      <c r="F511" s="65"/>
      <c r="G511" s="68"/>
      <c r="H511" s="68"/>
      <c r="I511" s="68"/>
      <c r="J511" s="68"/>
      <c r="K511" s="68"/>
    </row>
    <row r="512" spans="1:11" ht="20.100000000000001" hidden="1" customHeight="1">
      <c r="A512" s="979"/>
      <c r="B512" s="979"/>
      <c r="C512" s="979"/>
      <c r="D512" s="979"/>
      <c r="E512" s="979"/>
      <c r="F512" s="979"/>
      <c r="G512" s="979"/>
      <c r="H512" s="979"/>
      <c r="I512" s="979"/>
      <c r="J512" s="979"/>
      <c r="K512" s="979"/>
    </row>
    <row r="513" spans="1:11" ht="45.75" hidden="1" customHeight="1">
      <c r="A513" s="1030" t="s">
        <v>1381</v>
      </c>
      <c r="B513" s="1030"/>
      <c r="C513" s="1030"/>
      <c r="D513" s="1030"/>
      <c r="E513" s="1030"/>
      <c r="F513" s="1030"/>
      <c r="G513" s="1030"/>
      <c r="H513" s="1030"/>
      <c r="I513" s="1030"/>
      <c r="J513" s="1030"/>
      <c r="K513" s="1030"/>
    </row>
    <row r="514" spans="1:11" ht="66" hidden="1" customHeight="1">
      <c r="A514" s="1031" t="s">
        <v>37</v>
      </c>
      <c r="B514" s="1033"/>
      <c r="C514" s="1037" t="s">
        <v>178</v>
      </c>
      <c r="D514" s="1037" t="s">
        <v>179</v>
      </c>
      <c r="E514" s="1037" t="s">
        <v>1521</v>
      </c>
      <c r="F514" s="1037" t="s">
        <v>14</v>
      </c>
      <c r="G514" s="1037" t="s">
        <v>1515</v>
      </c>
      <c r="H514" s="1037" t="s">
        <v>16</v>
      </c>
      <c r="I514" s="1039" t="s">
        <v>1490</v>
      </c>
      <c r="J514" s="1039" t="s">
        <v>2203</v>
      </c>
      <c r="K514" s="1037" t="s">
        <v>200</v>
      </c>
    </row>
    <row r="515" spans="1:11" s="500" customFormat="1" ht="30" hidden="1">
      <c r="A515" s="1034"/>
      <c r="B515" s="1036"/>
      <c r="C515" s="1038"/>
      <c r="D515" s="1038"/>
      <c r="E515" s="1038"/>
      <c r="F515" s="1038"/>
      <c r="G515" s="1038"/>
      <c r="H515" s="1038"/>
      <c r="I515" s="1039"/>
      <c r="J515" s="1039"/>
      <c r="K515" s="1038"/>
    </row>
    <row r="516" spans="1:11" s="500" customFormat="1" ht="74.25" hidden="1" customHeight="1">
      <c r="A516" s="1102" t="s">
        <v>1571</v>
      </c>
      <c r="B516" s="1103"/>
      <c r="C516" s="729"/>
      <c r="D516" s="729"/>
      <c r="E516" s="726"/>
      <c r="F516" s="727"/>
      <c r="G516" s="728"/>
      <c r="H516" s="728"/>
      <c r="I516" s="642">
        <f>I517+I519+I530+I532</f>
        <v>312034.8</v>
      </c>
      <c r="J516" s="642">
        <f>J517+J519+J530+J532</f>
        <v>208023.19999999998</v>
      </c>
      <c r="K516" s="642">
        <f>I516+J516</f>
        <v>520058</v>
      </c>
    </row>
    <row r="517" spans="1:11" s="579" customFormat="1" ht="73.5" hidden="1" customHeight="1">
      <c r="A517" s="1011" t="s">
        <v>2251</v>
      </c>
      <c r="B517" s="1012"/>
      <c r="C517" s="1012"/>
      <c r="D517" s="1012"/>
      <c r="E517" s="1012"/>
      <c r="F517" s="1013"/>
      <c r="G517" s="709"/>
      <c r="H517" s="710"/>
      <c r="I517" s="545">
        <f>I518</f>
        <v>41682</v>
      </c>
      <c r="J517" s="545">
        <f>J518</f>
        <v>27788</v>
      </c>
      <c r="K517" s="545">
        <f>I517+J517</f>
        <v>69470</v>
      </c>
    </row>
    <row r="518" spans="1:11" s="510" customFormat="1" ht="74.25" hidden="1" customHeight="1">
      <c r="A518" s="1020" t="s">
        <v>1572</v>
      </c>
      <c r="B518" s="1022"/>
      <c r="C518" s="714" t="s">
        <v>147</v>
      </c>
      <c r="D518" s="714">
        <v>324</v>
      </c>
      <c r="E518" s="725" t="s">
        <v>1573</v>
      </c>
      <c r="F518" s="780" t="s">
        <v>2258</v>
      </c>
      <c r="G518" s="711">
        <v>8100</v>
      </c>
      <c r="H518" s="783" t="s">
        <v>2273</v>
      </c>
      <c r="I518" s="717">
        <f>K518/100*60</f>
        <v>41682</v>
      </c>
      <c r="J518" s="717">
        <f>K518/100*40</f>
        <v>27788</v>
      </c>
      <c r="K518" s="717">
        <v>69470</v>
      </c>
    </row>
    <row r="519" spans="1:11" ht="75" hidden="1" customHeight="1">
      <c r="A519" s="1011" t="s">
        <v>1541</v>
      </c>
      <c r="B519" s="1013"/>
      <c r="C519" s="709"/>
      <c r="D519" s="709"/>
      <c r="E519" s="709"/>
      <c r="F519" s="708"/>
      <c r="G519" s="709"/>
      <c r="H519" s="710"/>
      <c r="I519" s="545">
        <f>SUM(I520:I529)</f>
        <v>238125.59999999998</v>
      </c>
      <c r="J519" s="545">
        <f>SUM(J520:J529)</f>
        <v>158750.39999999999</v>
      </c>
      <c r="K519" s="545">
        <f>I519+J519</f>
        <v>396876</v>
      </c>
    </row>
    <row r="520" spans="1:11" s="510" customFormat="1" ht="74.25" hidden="1" customHeight="1">
      <c r="A520" s="1020" t="s">
        <v>1574</v>
      </c>
      <c r="B520" s="1022"/>
      <c r="C520" s="714" t="s">
        <v>1550</v>
      </c>
      <c r="D520" s="714">
        <v>20</v>
      </c>
      <c r="E520" s="725" t="s">
        <v>1573</v>
      </c>
      <c r="F520" s="776" t="s">
        <v>2229</v>
      </c>
      <c r="G520" s="1047">
        <v>8100</v>
      </c>
      <c r="H520" s="1099" t="s">
        <v>2273</v>
      </c>
      <c r="I520" s="717">
        <f t="shared" ref="I520:I529" si="17">K520/100*60</f>
        <v>30600</v>
      </c>
      <c r="J520" s="717">
        <f t="shared" ref="J520:J529" si="18">K520/100*40</f>
        <v>20400</v>
      </c>
      <c r="K520" s="717">
        <v>51000</v>
      </c>
    </row>
    <row r="521" spans="1:11" s="510" customFormat="1" ht="75" hidden="1" customHeight="1">
      <c r="A521" s="1020" t="s">
        <v>1575</v>
      </c>
      <c r="B521" s="1022"/>
      <c r="C521" s="714" t="s">
        <v>1551</v>
      </c>
      <c r="D521" s="714">
        <v>60</v>
      </c>
      <c r="E521" s="725" t="s">
        <v>1581</v>
      </c>
      <c r="F521" s="776" t="s">
        <v>2230</v>
      </c>
      <c r="G521" s="1048"/>
      <c r="H521" s="1100"/>
      <c r="I521" s="717">
        <f t="shared" si="17"/>
        <v>60000</v>
      </c>
      <c r="J521" s="717">
        <f t="shared" si="18"/>
        <v>40000</v>
      </c>
      <c r="K521" s="717">
        <v>100000</v>
      </c>
    </row>
    <row r="522" spans="1:11" s="510" customFormat="1" ht="75" hidden="1" customHeight="1">
      <c r="A522" s="1020" t="s">
        <v>1576</v>
      </c>
      <c r="B522" s="1022"/>
      <c r="C522" s="714" t="s">
        <v>1584</v>
      </c>
      <c r="D522" s="744">
        <v>2000</v>
      </c>
      <c r="E522" s="725" t="s">
        <v>1582</v>
      </c>
      <c r="F522" s="1044" t="s">
        <v>2231</v>
      </c>
      <c r="G522" s="1048"/>
      <c r="H522" s="1100"/>
      <c r="I522" s="717">
        <f t="shared" si="17"/>
        <v>77226.599999999991</v>
      </c>
      <c r="J522" s="717">
        <f t="shared" si="18"/>
        <v>51484.399999999994</v>
      </c>
      <c r="K522" s="717">
        <v>128711</v>
      </c>
    </row>
    <row r="523" spans="1:11" s="510" customFormat="1" ht="75" hidden="1" customHeight="1">
      <c r="A523" s="1020" t="s">
        <v>1577</v>
      </c>
      <c r="B523" s="1022"/>
      <c r="C523" s="714" t="s">
        <v>1584</v>
      </c>
      <c r="D523" s="714">
        <v>500</v>
      </c>
      <c r="E523" s="725" t="s">
        <v>1582</v>
      </c>
      <c r="F523" s="1045"/>
      <c r="G523" s="1048"/>
      <c r="H523" s="1100"/>
      <c r="I523" s="717">
        <f t="shared" si="17"/>
        <v>7200</v>
      </c>
      <c r="J523" s="717">
        <f t="shared" si="18"/>
        <v>4800</v>
      </c>
      <c r="K523" s="717">
        <v>12000</v>
      </c>
    </row>
    <row r="524" spans="1:11" s="510" customFormat="1" ht="75" hidden="1" customHeight="1">
      <c r="A524" s="1020" t="s">
        <v>1578</v>
      </c>
      <c r="B524" s="1022"/>
      <c r="C524" s="714" t="s">
        <v>1551</v>
      </c>
      <c r="D524" s="714">
        <v>45</v>
      </c>
      <c r="E524" s="725" t="s">
        <v>1582</v>
      </c>
      <c r="F524" s="1045"/>
      <c r="G524" s="1048"/>
      <c r="H524" s="1100"/>
      <c r="I524" s="717">
        <f t="shared" si="17"/>
        <v>24000</v>
      </c>
      <c r="J524" s="717">
        <f t="shared" si="18"/>
        <v>16000</v>
      </c>
      <c r="K524" s="717">
        <v>40000</v>
      </c>
    </row>
    <row r="525" spans="1:11" s="510" customFormat="1" ht="75" hidden="1" customHeight="1">
      <c r="A525" s="1020" t="s">
        <v>1579</v>
      </c>
      <c r="B525" s="1022"/>
      <c r="C525" s="714" t="s">
        <v>1551</v>
      </c>
      <c r="D525" s="714">
        <v>25</v>
      </c>
      <c r="E525" s="725" t="s">
        <v>1582</v>
      </c>
      <c r="F525" s="1045"/>
      <c r="G525" s="1048"/>
      <c r="H525" s="1100"/>
      <c r="I525" s="717">
        <f t="shared" si="17"/>
        <v>5400</v>
      </c>
      <c r="J525" s="717">
        <f t="shared" si="18"/>
        <v>3600</v>
      </c>
      <c r="K525" s="717">
        <v>9000</v>
      </c>
    </row>
    <row r="526" spans="1:11" s="510" customFormat="1" ht="75" hidden="1" customHeight="1">
      <c r="A526" s="1020" t="s">
        <v>1580</v>
      </c>
      <c r="B526" s="1022"/>
      <c r="C526" s="714" t="s">
        <v>1585</v>
      </c>
      <c r="D526" s="714">
        <v>16</v>
      </c>
      <c r="E526" s="725" t="s">
        <v>1583</v>
      </c>
      <c r="F526" s="1045"/>
      <c r="G526" s="1048"/>
      <c r="H526" s="1100"/>
      <c r="I526" s="717">
        <f t="shared" si="17"/>
        <v>4800</v>
      </c>
      <c r="J526" s="717">
        <f t="shared" si="18"/>
        <v>3200</v>
      </c>
      <c r="K526" s="717">
        <v>8000</v>
      </c>
    </row>
    <row r="527" spans="1:11" s="510" customFormat="1" ht="75" hidden="1" customHeight="1">
      <c r="A527" s="1020" t="s">
        <v>1587</v>
      </c>
      <c r="B527" s="1022"/>
      <c r="C527" s="714" t="s">
        <v>1591</v>
      </c>
      <c r="D527" s="716">
        <v>0.5</v>
      </c>
      <c r="E527" s="725" t="s">
        <v>1582</v>
      </c>
      <c r="F527" s="1045"/>
      <c r="G527" s="1048"/>
      <c r="H527" s="1100"/>
      <c r="I527" s="717">
        <f t="shared" si="17"/>
        <v>9000</v>
      </c>
      <c r="J527" s="717">
        <f t="shared" si="18"/>
        <v>6000</v>
      </c>
      <c r="K527" s="717">
        <v>15000</v>
      </c>
    </row>
    <row r="528" spans="1:11" s="510" customFormat="1" ht="75" hidden="1" customHeight="1">
      <c r="A528" s="1020" t="s">
        <v>1588</v>
      </c>
      <c r="B528" s="1022"/>
      <c r="C528" s="714" t="s">
        <v>1593</v>
      </c>
      <c r="D528" s="714">
        <v>1</v>
      </c>
      <c r="E528" s="725" t="s">
        <v>1592</v>
      </c>
      <c r="F528" s="1045"/>
      <c r="G528" s="1048"/>
      <c r="H528" s="1100"/>
      <c r="I528" s="717">
        <f t="shared" si="17"/>
        <v>5400</v>
      </c>
      <c r="J528" s="717">
        <f t="shared" si="18"/>
        <v>3600</v>
      </c>
      <c r="K528" s="717">
        <v>9000</v>
      </c>
    </row>
    <row r="529" spans="1:11" s="510" customFormat="1" ht="75" hidden="1" customHeight="1">
      <c r="A529" s="1020" t="s">
        <v>1590</v>
      </c>
      <c r="B529" s="1022"/>
      <c r="C529" s="714" t="s">
        <v>1584</v>
      </c>
      <c r="D529" s="744">
        <v>1000</v>
      </c>
      <c r="E529" s="725" t="s">
        <v>1582</v>
      </c>
      <c r="F529" s="1046"/>
      <c r="G529" s="1049"/>
      <c r="H529" s="1101"/>
      <c r="I529" s="717">
        <f t="shared" si="17"/>
        <v>14499</v>
      </c>
      <c r="J529" s="717">
        <f t="shared" si="18"/>
        <v>9666</v>
      </c>
      <c r="K529" s="717">
        <v>24165</v>
      </c>
    </row>
    <row r="530" spans="1:11" ht="74.25" hidden="1" customHeight="1">
      <c r="A530" s="1011" t="s">
        <v>278</v>
      </c>
      <c r="B530" s="1013"/>
      <c r="C530" s="504"/>
      <c r="D530" s="709"/>
      <c r="E530" s="709"/>
      <c r="F530" s="708"/>
      <c r="G530" s="709"/>
      <c r="H530" s="710"/>
      <c r="I530" s="545">
        <f>SUM(I531)</f>
        <v>9600</v>
      </c>
      <c r="J530" s="545">
        <f>SUM(J531)</f>
        <v>6400</v>
      </c>
      <c r="K530" s="545">
        <f>I530+J530</f>
        <v>16000</v>
      </c>
    </row>
    <row r="531" spans="1:11" s="510" customFormat="1" ht="74.25" hidden="1" customHeight="1">
      <c r="A531" s="1020" t="s">
        <v>1595</v>
      </c>
      <c r="B531" s="1022"/>
      <c r="C531" s="714" t="s">
        <v>18</v>
      </c>
      <c r="D531" s="714">
        <v>15</v>
      </c>
      <c r="E531" s="725" t="s">
        <v>1596</v>
      </c>
      <c r="F531" s="777" t="s">
        <v>2234</v>
      </c>
      <c r="G531" s="711">
        <v>8100</v>
      </c>
      <c r="H531" s="794" t="s">
        <v>2445</v>
      </c>
      <c r="I531" s="717">
        <f>K531/100*60</f>
        <v>9600</v>
      </c>
      <c r="J531" s="717">
        <f>K531/100*40</f>
        <v>6400</v>
      </c>
      <c r="K531" s="717">
        <v>16000</v>
      </c>
    </row>
    <row r="532" spans="1:11" ht="73.5" hidden="1" customHeight="1">
      <c r="A532" s="1011" t="s">
        <v>312</v>
      </c>
      <c r="B532" s="1013"/>
      <c r="C532" s="709"/>
      <c r="D532" s="709"/>
      <c r="E532" s="709"/>
      <c r="F532" s="708"/>
      <c r="G532" s="709"/>
      <c r="H532" s="710"/>
      <c r="I532" s="545">
        <f>SUM(I533:I536)</f>
        <v>22627.200000000001</v>
      </c>
      <c r="J532" s="545">
        <f>SUM(J533:J536)</f>
        <v>15084.8</v>
      </c>
      <c r="K532" s="545">
        <f>I532+J532</f>
        <v>37712</v>
      </c>
    </row>
    <row r="533" spans="1:11" s="510" customFormat="1" ht="74.25" hidden="1" customHeight="1">
      <c r="A533" s="1020" t="s">
        <v>1589</v>
      </c>
      <c r="B533" s="1022"/>
      <c r="C533" s="714" t="s">
        <v>1594</v>
      </c>
      <c r="D533" s="714">
        <v>1</v>
      </c>
      <c r="E533" s="725" t="s">
        <v>1583</v>
      </c>
      <c r="F533" s="1044" t="s">
        <v>2224</v>
      </c>
      <c r="G533" s="1047">
        <v>8100</v>
      </c>
      <c r="H533" s="1099" t="s">
        <v>2273</v>
      </c>
      <c r="I533" s="717">
        <f>K533/100*60</f>
        <v>4200</v>
      </c>
      <c r="J533" s="717">
        <f>K533/100*40</f>
        <v>2800</v>
      </c>
      <c r="K533" s="717">
        <v>7000</v>
      </c>
    </row>
    <row r="534" spans="1:11" s="510" customFormat="1" ht="74.25" hidden="1" customHeight="1">
      <c r="A534" s="1020" t="s">
        <v>1597</v>
      </c>
      <c r="B534" s="1022"/>
      <c r="C534" s="714" t="s">
        <v>1600</v>
      </c>
      <c r="D534" s="714">
        <v>18</v>
      </c>
      <c r="E534" s="725" t="s">
        <v>1582</v>
      </c>
      <c r="F534" s="1045"/>
      <c r="G534" s="1048"/>
      <c r="H534" s="1100"/>
      <c r="I534" s="717">
        <f>K534/100*60</f>
        <v>4800</v>
      </c>
      <c r="J534" s="717">
        <f>K534/100*40</f>
        <v>3200</v>
      </c>
      <c r="K534" s="717">
        <v>8000</v>
      </c>
    </row>
    <row r="535" spans="1:11" s="510" customFormat="1" ht="74.25" hidden="1" customHeight="1">
      <c r="A535" s="1020" t="s">
        <v>1598</v>
      </c>
      <c r="B535" s="1022"/>
      <c r="C535" s="714" t="s">
        <v>1601</v>
      </c>
      <c r="D535" s="714">
        <v>5</v>
      </c>
      <c r="E535" s="725" t="s">
        <v>1582</v>
      </c>
      <c r="F535" s="1045"/>
      <c r="G535" s="1048"/>
      <c r="H535" s="1100"/>
      <c r="I535" s="717">
        <f>K535/100*60</f>
        <v>8400</v>
      </c>
      <c r="J535" s="717">
        <f>K535/100*40</f>
        <v>5600</v>
      </c>
      <c r="K535" s="717">
        <v>14000</v>
      </c>
    </row>
    <row r="536" spans="1:11" s="510" customFormat="1" ht="74.25" hidden="1" customHeight="1">
      <c r="A536" s="1020" t="s">
        <v>1599</v>
      </c>
      <c r="B536" s="1022"/>
      <c r="C536" s="714" t="s">
        <v>1601</v>
      </c>
      <c r="D536" s="714">
        <v>3</v>
      </c>
      <c r="E536" s="725" t="s">
        <v>1583</v>
      </c>
      <c r="F536" s="1046"/>
      <c r="G536" s="1049"/>
      <c r="H536" s="1101"/>
      <c r="I536" s="717">
        <f>K536/100*60</f>
        <v>5227.2000000000007</v>
      </c>
      <c r="J536" s="717">
        <f>K536/100*40</f>
        <v>3484.8</v>
      </c>
      <c r="K536" s="717">
        <v>8712</v>
      </c>
    </row>
    <row r="537" spans="1:11" s="510" customFormat="1" ht="74.25" hidden="1" customHeight="1">
      <c r="A537" s="753"/>
      <c r="B537" s="753"/>
      <c r="C537" s="754"/>
      <c r="D537" s="754"/>
      <c r="E537" s="759"/>
      <c r="F537" s="755"/>
      <c r="G537" s="758"/>
      <c r="H537" s="756"/>
      <c r="I537" s="757"/>
      <c r="J537" s="757"/>
      <c r="K537" s="757"/>
    </row>
    <row r="538" spans="1:11" s="510" customFormat="1" ht="74.25" hidden="1" customHeight="1">
      <c r="A538" s="753"/>
      <c r="B538" s="753"/>
      <c r="C538" s="754"/>
      <c r="D538" s="754"/>
      <c r="E538" s="759"/>
      <c r="F538" s="755"/>
      <c r="G538" s="758"/>
      <c r="H538" s="756"/>
      <c r="I538" s="757"/>
      <c r="J538" s="757"/>
      <c r="K538" s="757"/>
    </row>
    <row r="539" spans="1:11" s="510" customFormat="1" ht="74.25" hidden="1" customHeight="1">
      <c r="A539" s="753"/>
      <c r="B539" s="753"/>
      <c r="C539" s="754"/>
      <c r="D539" s="754"/>
      <c r="E539" s="759"/>
      <c r="F539" s="755"/>
      <c r="G539" s="758"/>
      <c r="H539" s="756"/>
      <c r="I539" s="757"/>
      <c r="J539" s="757"/>
      <c r="K539" s="757"/>
    </row>
    <row r="540" spans="1:11" s="510" customFormat="1" ht="74.25" hidden="1" customHeight="1">
      <c r="A540" s="753"/>
      <c r="B540" s="753"/>
      <c r="C540" s="754"/>
      <c r="D540" s="754"/>
      <c r="E540" s="759"/>
      <c r="F540" s="755"/>
      <c r="G540" s="758"/>
      <c r="H540" s="756"/>
      <c r="I540" s="757"/>
      <c r="J540" s="757"/>
      <c r="K540" s="757"/>
    </row>
    <row r="541" spans="1:11" s="510" customFormat="1" ht="74.25" hidden="1" customHeight="1">
      <c r="A541" s="753"/>
      <c r="B541" s="753"/>
      <c r="C541" s="754"/>
      <c r="D541" s="754"/>
      <c r="E541" s="759"/>
      <c r="F541" s="755"/>
      <c r="G541" s="758"/>
      <c r="H541" s="756"/>
      <c r="I541" s="757"/>
      <c r="J541" s="757"/>
      <c r="K541" s="757"/>
    </row>
    <row r="542" spans="1:11" s="510" customFormat="1" ht="74.25" hidden="1" customHeight="1">
      <c r="A542" s="753"/>
      <c r="B542" s="753"/>
      <c r="C542" s="754"/>
      <c r="D542" s="754"/>
      <c r="E542" s="759"/>
      <c r="F542" s="755"/>
      <c r="G542" s="758"/>
      <c r="H542" s="756"/>
      <c r="I542" s="757"/>
      <c r="J542" s="757"/>
      <c r="K542" s="757"/>
    </row>
    <row r="543" spans="1:11" s="510" customFormat="1" ht="74.25" hidden="1" customHeight="1">
      <c r="A543" s="753"/>
      <c r="B543" s="753"/>
      <c r="C543" s="754"/>
      <c r="D543" s="754"/>
      <c r="E543" s="759"/>
      <c r="F543" s="755"/>
      <c r="G543" s="758"/>
      <c r="H543" s="756"/>
      <c r="I543" s="757"/>
      <c r="J543" s="757"/>
      <c r="K543" s="757"/>
    </row>
    <row r="544" spans="1:11" s="510" customFormat="1" ht="74.25" hidden="1" customHeight="1">
      <c r="A544" s="753"/>
      <c r="B544" s="753"/>
      <c r="C544" s="754"/>
      <c r="D544" s="754"/>
      <c r="E544" s="759"/>
      <c r="F544" s="755"/>
      <c r="G544" s="758"/>
      <c r="H544" s="756"/>
      <c r="I544" s="757"/>
      <c r="J544" s="757"/>
      <c r="K544" s="757"/>
    </row>
    <row r="545" spans="1:11" s="510" customFormat="1" ht="74.25" hidden="1" customHeight="1">
      <c r="A545" s="753"/>
      <c r="B545" s="753"/>
      <c r="C545" s="754"/>
      <c r="D545" s="754"/>
      <c r="E545" s="759"/>
      <c r="F545" s="755"/>
      <c r="G545" s="758"/>
      <c r="H545" s="756"/>
      <c r="I545" s="757"/>
      <c r="J545" s="757"/>
      <c r="K545" s="757"/>
    </row>
    <row r="546" spans="1:11" s="510" customFormat="1" ht="74.25" hidden="1" customHeight="1">
      <c r="A546" s="753"/>
      <c r="B546" s="753"/>
      <c r="C546" s="754"/>
      <c r="D546" s="754"/>
      <c r="E546" s="759"/>
      <c r="F546" s="755"/>
      <c r="G546" s="758"/>
      <c r="H546" s="756"/>
      <c r="I546" s="757"/>
      <c r="J546" s="757"/>
      <c r="K546" s="757"/>
    </row>
    <row r="547" spans="1:11" s="510" customFormat="1" ht="74.25" hidden="1" customHeight="1">
      <c r="A547" s="753"/>
      <c r="B547" s="753"/>
      <c r="C547" s="754"/>
      <c r="D547" s="754"/>
      <c r="E547" s="759"/>
      <c r="F547" s="755"/>
      <c r="G547" s="758"/>
      <c r="H547" s="756"/>
      <c r="I547" s="757"/>
      <c r="J547" s="757"/>
      <c r="K547" s="757"/>
    </row>
    <row r="548" spans="1:11" ht="34.5" hidden="1" customHeight="1">
      <c r="A548" s="1128" t="s">
        <v>51</v>
      </c>
      <c r="B548" s="1128"/>
      <c r="C548" s="1128"/>
      <c r="D548" s="1128"/>
      <c r="E548" s="1128"/>
      <c r="F548" s="1128"/>
      <c r="G548" s="1128"/>
      <c r="H548" s="1128"/>
      <c r="I548" s="1128"/>
      <c r="J548" s="1128"/>
      <c r="K548" s="1128"/>
    </row>
    <row r="549" spans="1:11" ht="30.75" hidden="1" customHeight="1">
      <c r="A549" s="1128" t="s">
        <v>52</v>
      </c>
      <c r="B549" s="1128"/>
      <c r="C549" s="1128"/>
      <c r="D549" s="1128"/>
      <c r="E549" s="1128"/>
      <c r="F549" s="1128"/>
      <c r="G549" s="1128"/>
      <c r="H549" s="1128"/>
      <c r="I549" s="1128"/>
      <c r="J549" s="1128"/>
      <c r="K549" s="1128"/>
    </row>
    <row r="550" spans="1:11" ht="33" hidden="1" customHeight="1">
      <c r="A550" s="1132" t="s">
        <v>50</v>
      </c>
      <c r="B550" s="1132"/>
      <c r="C550" s="1132"/>
      <c r="D550" s="1132"/>
      <c r="E550" s="1132"/>
      <c r="F550" s="1132"/>
      <c r="G550" s="1132"/>
      <c r="H550" s="1132"/>
      <c r="I550" s="1132"/>
      <c r="J550" s="1132"/>
      <c r="K550" s="1132"/>
    </row>
    <row r="551" spans="1:11" ht="33" hidden="1" customHeight="1">
      <c r="A551" s="154"/>
      <c r="B551" s="154"/>
      <c r="C551" s="154"/>
      <c r="D551" s="154"/>
      <c r="E551" s="154"/>
      <c r="F551" s="154"/>
      <c r="G551" s="707"/>
      <c r="H551" s="707"/>
      <c r="I551" s="707"/>
      <c r="J551" s="707"/>
      <c r="K551" s="707"/>
    </row>
    <row r="552" spans="1:11" ht="35.25" hidden="1">
      <c r="A552" s="1128" t="s">
        <v>1336</v>
      </c>
      <c r="B552" s="1128"/>
      <c r="C552" s="1128"/>
      <c r="D552" s="1128"/>
      <c r="E552" s="1128"/>
      <c r="F552" s="1128"/>
      <c r="G552" s="1128"/>
      <c r="H552" s="1128"/>
      <c r="I552" s="1128"/>
      <c r="J552" s="1128"/>
      <c r="K552" s="1128"/>
    </row>
    <row r="553" spans="1:11" s="620" customFormat="1" ht="33" hidden="1">
      <c r="A553" s="65"/>
      <c r="B553" s="65"/>
      <c r="C553" s="65"/>
      <c r="D553" s="65"/>
      <c r="E553" s="65"/>
      <c r="F553" s="65"/>
      <c r="G553" s="68"/>
      <c r="H553" s="68"/>
      <c r="I553" s="68"/>
      <c r="J553" s="68"/>
      <c r="K553" s="68"/>
    </row>
    <row r="554" spans="1:11" ht="20.100000000000001" hidden="1" customHeight="1">
      <c r="A554" s="65"/>
      <c r="B554" s="65"/>
      <c r="C554" s="65"/>
      <c r="D554" s="65"/>
      <c r="E554" s="65"/>
      <c r="F554" s="65"/>
      <c r="G554" s="68"/>
      <c r="H554" s="68"/>
      <c r="I554" s="68"/>
      <c r="J554" s="68"/>
      <c r="K554" s="68"/>
    </row>
    <row r="555" spans="1:11" ht="20.100000000000001" hidden="1" customHeight="1">
      <c r="A555" s="979"/>
      <c r="B555" s="979"/>
      <c r="C555" s="979"/>
      <c r="D555" s="979"/>
      <c r="E555" s="979"/>
      <c r="F555" s="979"/>
      <c r="G555" s="979"/>
      <c r="H555" s="979"/>
      <c r="I555" s="979"/>
      <c r="J555" s="979"/>
      <c r="K555" s="979"/>
    </row>
    <row r="556" spans="1:11" ht="45.75" hidden="1" customHeight="1">
      <c r="A556" s="1030" t="s">
        <v>1381</v>
      </c>
      <c r="B556" s="1030"/>
      <c r="C556" s="1030"/>
      <c r="D556" s="1030"/>
      <c r="E556" s="1030"/>
      <c r="F556" s="1030"/>
      <c r="G556" s="1030"/>
      <c r="H556" s="1030"/>
      <c r="I556" s="1030"/>
      <c r="J556" s="1030"/>
      <c r="K556" s="1030"/>
    </row>
    <row r="557" spans="1:11" ht="66" hidden="1" customHeight="1">
      <c r="A557" s="1031" t="s">
        <v>37</v>
      </c>
      <c r="B557" s="1033"/>
      <c r="C557" s="1037" t="s">
        <v>178</v>
      </c>
      <c r="D557" s="1037" t="s">
        <v>179</v>
      </c>
      <c r="E557" s="1037" t="s">
        <v>1521</v>
      </c>
      <c r="F557" s="1037" t="s">
        <v>14</v>
      </c>
      <c r="G557" s="1037" t="s">
        <v>1515</v>
      </c>
      <c r="H557" s="1037" t="s">
        <v>16</v>
      </c>
      <c r="I557" s="1039" t="s">
        <v>1490</v>
      </c>
      <c r="J557" s="1039" t="s">
        <v>2203</v>
      </c>
      <c r="K557" s="1037" t="s">
        <v>200</v>
      </c>
    </row>
    <row r="558" spans="1:11" s="500" customFormat="1" ht="30" hidden="1">
      <c r="A558" s="1034"/>
      <c r="B558" s="1036"/>
      <c r="C558" s="1038"/>
      <c r="D558" s="1038"/>
      <c r="E558" s="1038"/>
      <c r="F558" s="1038"/>
      <c r="G558" s="1038"/>
      <c r="H558" s="1038"/>
      <c r="I558" s="1039"/>
      <c r="J558" s="1039"/>
      <c r="K558" s="1038"/>
    </row>
    <row r="559" spans="1:11" s="500" customFormat="1" ht="74.25" hidden="1" customHeight="1">
      <c r="A559" s="1102" t="s">
        <v>1564</v>
      </c>
      <c r="B559" s="1103"/>
      <c r="C559" s="729"/>
      <c r="D559" s="729"/>
      <c r="E559" s="726"/>
      <c r="F559" s="727"/>
      <c r="G559" s="728"/>
      <c r="H559" s="728"/>
      <c r="I559" s="642">
        <f>I560+I564</f>
        <v>260177.4</v>
      </c>
      <c r="J559" s="642">
        <f>J560+J564</f>
        <v>173451.6</v>
      </c>
      <c r="K559" s="642">
        <f>I559+J559</f>
        <v>433629</v>
      </c>
    </row>
    <row r="560" spans="1:11" ht="75" hidden="1" customHeight="1">
      <c r="A560" s="1011" t="s">
        <v>1541</v>
      </c>
      <c r="B560" s="1013"/>
      <c r="C560" s="709"/>
      <c r="D560" s="709"/>
      <c r="E560" s="709"/>
      <c r="F560" s="708"/>
      <c r="G560" s="709"/>
      <c r="H560" s="710"/>
      <c r="I560" s="545">
        <f>SUM(I561:I563)</f>
        <v>236177.4</v>
      </c>
      <c r="J560" s="545">
        <f>SUM(J561:J563)</f>
        <v>157451.6</v>
      </c>
      <c r="K560" s="545">
        <f>I560+J560</f>
        <v>393629</v>
      </c>
    </row>
    <row r="561" spans="1:11" s="510" customFormat="1" ht="74.25" hidden="1" customHeight="1">
      <c r="A561" s="1020" t="s">
        <v>1566</v>
      </c>
      <c r="B561" s="1022"/>
      <c r="C561" s="714" t="s">
        <v>1544</v>
      </c>
      <c r="D561" s="714"/>
      <c r="E561" s="714" t="s">
        <v>1544</v>
      </c>
      <c r="F561" s="776" t="s">
        <v>2229</v>
      </c>
      <c r="G561" s="1047">
        <v>8100</v>
      </c>
      <c r="H561" s="1099" t="s">
        <v>2273</v>
      </c>
      <c r="I561" s="717">
        <f>K561/100*60</f>
        <v>46800</v>
      </c>
      <c r="J561" s="717">
        <f>K561/100*40</f>
        <v>31200</v>
      </c>
      <c r="K561" s="717">
        <v>78000</v>
      </c>
    </row>
    <row r="562" spans="1:11" s="510" customFormat="1" ht="75" hidden="1" customHeight="1">
      <c r="A562" s="1020" t="s">
        <v>1546</v>
      </c>
      <c r="B562" s="1022"/>
      <c r="C562" s="714" t="s">
        <v>1544</v>
      </c>
      <c r="D562" s="714"/>
      <c r="E562" s="714" t="s">
        <v>1544</v>
      </c>
      <c r="F562" s="776" t="s">
        <v>2230</v>
      </c>
      <c r="G562" s="1048"/>
      <c r="H562" s="1100"/>
      <c r="I562" s="717">
        <f>K562/100*60</f>
        <v>34800</v>
      </c>
      <c r="J562" s="717">
        <f>K562/100*40</f>
        <v>23200</v>
      </c>
      <c r="K562" s="717">
        <v>58000</v>
      </c>
    </row>
    <row r="563" spans="1:11" s="510" customFormat="1" ht="75" hidden="1" customHeight="1">
      <c r="A563" s="1020" t="s">
        <v>1568</v>
      </c>
      <c r="B563" s="1022"/>
      <c r="C563" s="714" t="s">
        <v>1544</v>
      </c>
      <c r="D563" s="714"/>
      <c r="E563" s="714" t="s">
        <v>1544</v>
      </c>
      <c r="F563" s="776" t="s">
        <v>2231</v>
      </c>
      <c r="G563" s="1048"/>
      <c r="H563" s="1100"/>
      <c r="I563" s="717">
        <f>K563/100*60</f>
        <v>154577.4</v>
      </c>
      <c r="J563" s="717">
        <f>K563/100*40</f>
        <v>103051.6</v>
      </c>
      <c r="K563" s="717">
        <v>257629</v>
      </c>
    </row>
    <row r="564" spans="1:11" ht="73.5" hidden="1" customHeight="1">
      <c r="A564" s="1011" t="s">
        <v>312</v>
      </c>
      <c r="B564" s="1013"/>
      <c r="C564" s="709"/>
      <c r="D564" s="709"/>
      <c r="E564" s="709"/>
      <c r="F564" s="708"/>
      <c r="G564" s="709"/>
      <c r="H564" s="710"/>
      <c r="I564" s="545">
        <f>SUM(I565:I565)</f>
        <v>24000</v>
      </c>
      <c r="J564" s="545">
        <f>SUM(J565:J565)</f>
        <v>16000</v>
      </c>
      <c r="K564" s="545">
        <f>SUM(K565:K565)</f>
        <v>40000</v>
      </c>
    </row>
    <row r="565" spans="1:11" s="510" customFormat="1" ht="74.25" hidden="1" customHeight="1">
      <c r="A565" s="1020" t="s">
        <v>1567</v>
      </c>
      <c r="B565" s="1022"/>
      <c r="C565" s="714" t="s">
        <v>1544</v>
      </c>
      <c r="D565" s="714"/>
      <c r="E565" s="714" t="s">
        <v>1544</v>
      </c>
      <c r="F565" s="777" t="s">
        <v>2224</v>
      </c>
      <c r="G565" s="711">
        <v>8100</v>
      </c>
      <c r="H565" s="783" t="s">
        <v>2273</v>
      </c>
      <c r="I565" s="717">
        <f>K565/100*60</f>
        <v>24000</v>
      </c>
      <c r="J565" s="717">
        <f>K565/100*40</f>
        <v>16000</v>
      </c>
      <c r="K565" s="717">
        <v>40000</v>
      </c>
    </row>
    <row r="566" spans="1:11" s="743" customFormat="1" ht="36.75" hidden="1" customHeight="1">
      <c r="A566" s="1135"/>
      <c r="B566" s="1136"/>
      <c r="C566" s="738"/>
      <c r="D566" s="738"/>
      <c r="E566" s="739"/>
      <c r="F566" s="740"/>
      <c r="G566" s="741"/>
      <c r="H566" s="741"/>
      <c r="I566" s="742"/>
      <c r="J566" s="742"/>
      <c r="K566" s="742"/>
    </row>
    <row r="567" spans="1:11" ht="66" hidden="1" customHeight="1">
      <c r="A567" s="1031" t="s">
        <v>37</v>
      </c>
      <c r="B567" s="1033"/>
      <c r="C567" s="1037" t="s">
        <v>178</v>
      </c>
      <c r="D567" s="1037" t="s">
        <v>179</v>
      </c>
      <c r="E567" s="1037" t="s">
        <v>1521</v>
      </c>
      <c r="F567" s="1037" t="s">
        <v>14</v>
      </c>
      <c r="G567" s="1037" t="s">
        <v>1515</v>
      </c>
      <c r="H567" s="1037" t="s">
        <v>16</v>
      </c>
      <c r="I567" s="1039" t="s">
        <v>1490</v>
      </c>
      <c r="J567" s="1039" t="s">
        <v>2203</v>
      </c>
      <c r="K567" s="1037" t="s">
        <v>200</v>
      </c>
    </row>
    <row r="568" spans="1:11" s="500" customFormat="1" ht="30" hidden="1">
      <c r="A568" s="1034"/>
      <c r="B568" s="1036"/>
      <c r="C568" s="1038"/>
      <c r="D568" s="1038"/>
      <c r="E568" s="1038"/>
      <c r="F568" s="1038"/>
      <c r="G568" s="1038"/>
      <c r="H568" s="1038"/>
      <c r="I568" s="1039"/>
      <c r="J568" s="1039"/>
      <c r="K568" s="1038"/>
    </row>
    <row r="569" spans="1:11" s="500" customFormat="1" ht="74.25" hidden="1" customHeight="1">
      <c r="A569" s="1102" t="s">
        <v>1710</v>
      </c>
      <c r="B569" s="1103"/>
      <c r="C569" s="729"/>
      <c r="D569" s="729"/>
      <c r="E569" s="726"/>
      <c r="F569" s="727"/>
      <c r="G569" s="728"/>
      <c r="H569" s="728"/>
      <c r="I569" s="642">
        <f>I570</f>
        <v>167322.6</v>
      </c>
      <c r="J569" s="642">
        <f>J570</f>
        <v>111548.4</v>
      </c>
      <c r="K569" s="642">
        <f>I569+J569</f>
        <v>278871</v>
      </c>
    </row>
    <row r="570" spans="1:11" ht="75" hidden="1" customHeight="1">
      <c r="A570" s="1011" t="s">
        <v>1541</v>
      </c>
      <c r="B570" s="1013"/>
      <c r="C570" s="709"/>
      <c r="D570" s="709"/>
      <c r="E570" s="709"/>
      <c r="F570" s="708"/>
      <c r="G570" s="709"/>
      <c r="H570" s="710"/>
      <c r="I570" s="545">
        <f>SUM(I571:I578)</f>
        <v>167322.6</v>
      </c>
      <c r="J570" s="545">
        <f>SUM(J571:J578)</f>
        <v>111548.4</v>
      </c>
      <c r="K570" s="545">
        <f>I570+J570</f>
        <v>278871</v>
      </c>
    </row>
    <row r="571" spans="1:11" s="510" customFormat="1" ht="74.25" hidden="1" customHeight="1">
      <c r="A571" s="1020" t="s">
        <v>1761</v>
      </c>
      <c r="B571" s="1022"/>
      <c r="C571" s="714" t="s">
        <v>1712</v>
      </c>
      <c r="D571" s="714">
        <v>10</v>
      </c>
      <c r="E571" s="714" t="s">
        <v>1713</v>
      </c>
      <c r="F571" s="1044" t="s">
        <v>2229</v>
      </c>
      <c r="G571" s="1047">
        <v>8100</v>
      </c>
      <c r="H571" s="1099" t="s">
        <v>2273</v>
      </c>
      <c r="I571" s="717">
        <f t="shared" ref="I571:I578" si="19">K571/100*60</f>
        <v>18000</v>
      </c>
      <c r="J571" s="717">
        <f t="shared" ref="J571:J578" si="20">K571/100*40</f>
        <v>12000</v>
      </c>
      <c r="K571" s="717">
        <v>30000</v>
      </c>
    </row>
    <row r="572" spans="1:11" s="510" customFormat="1" ht="74.25" hidden="1" customHeight="1">
      <c r="A572" s="1020" t="s">
        <v>1762</v>
      </c>
      <c r="B572" s="1022"/>
      <c r="C572" s="714" t="s">
        <v>1714</v>
      </c>
      <c r="D572" s="714">
        <v>10</v>
      </c>
      <c r="E572" s="714" t="s">
        <v>1715</v>
      </c>
      <c r="F572" s="1045"/>
      <c r="G572" s="1048"/>
      <c r="H572" s="1100"/>
      <c r="I572" s="717">
        <f t="shared" si="19"/>
        <v>18000</v>
      </c>
      <c r="J572" s="717">
        <f t="shared" si="20"/>
        <v>12000</v>
      </c>
      <c r="K572" s="717">
        <v>30000</v>
      </c>
    </row>
    <row r="573" spans="1:11" s="510" customFormat="1" ht="74.25" hidden="1" customHeight="1">
      <c r="A573" s="1020" t="s">
        <v>1763</v>
      </c>
      <c r="B573" s="1022"/>
      <c r="C573" s="714" t="s">
        <v>1716</v>
      </c>
      <c r="D573" s="714">
        <v>15</v>
      </c>
      <c r="E573" s="714" t="s">
        <v>1717</v>
      </c>
      <c r="F573" s="1045"/>
      <c r="G573" s="1048"/>
      <c r="H573" s="1100"/>
      <c r="I573" s="717">
        <f t="shared" si="19"/>
        <v>14400</v>
      </c>
      <c r="J573" s="717">
        <f t="shared" si="20"/>
        <v>9600</v>
      </c>
      <c r="K573" s="717">
        <v>24000</v>
      </c>
    </row>
    <row r="574" spans="1:11" s="510" customFormat="1" ht="74.25" hidden="1" customHeight="1">
      <c r="A574" s="1020" t="s">
        <v>1764</v>
      </c>
      <c r="B574" s="1022"/>
      <c r="C574" s="714" t="s">
        <v>1718</v>
      </c>
      <c r="D574" s="714">
        <v>30</v>
      </c>
      <c r="E574" s="714" t="s">
        <v>1719</v>
      </c>
      <c r="F574" s="780" t="s">
        <v>2236</v>
      </c>
      <c r="G574" s="1049"/>
      <c r="H574" s="1101"/>
      <c r="I574" s="717">
        <f t="shared" si="19"/>
        <v>6000</v>
      </c>
      <c r="J574" s="717">
        <f t="shared" si="20"/>
        <v>4000</v>
      </c>
      <c r="K574" s="717">
        <v>10000</v>
      </c>
    </row>
    <row r="575" spans="1:11" s="510" customFormat="1" ht="74.25" hidden="1" customHeight="1">
      <c r="A575" s="1020" t="s">
        <v>1765</v>
      </c>
      <c r="B575" s="1022"/>
      <c r="C575" s="714" t="s">
        <v>1720</v>
      </c>
      <c r="D575" s="714">
        <v>70</v>
      </c>
      <c r="E575" s="714" t="s">
        <v>1721</v>
      </c>
      <c r="F575" s="776" t="s">
        <v>2230</v>
      </c>
      <c r="G575" s="745">
        <v>8100</v>
      </c>
      <c r="H575" s="782" t="s">
        <v>2273</v>
      </c>
      <c r="I575" s="717">
        <f t="shared" si="19"/>
        <v>32322.600000000002</v>
      </c>
      <c r="J575" s="717">
        <f t="shared" si="20"/>
        <v>21548.400000000001</v>
      </c>
      <c r="K575" s="717">
        <v>53871</v>
      </c>
    </row>
    <row r="576" spans="1:11" s="510" customFormat="1" ht="74.25" hidden="1" customHeight="1">
      <c r="A576" s="1020" t="s">
        <v>1766</v>
      </c>
      <c r="B576" s="1022"/>
      <c r="C576" s="714" t="s">
        <v>1722</v>
      </c>
      <c r="D576" s="714">
        <v>60</v>
      </c>
      <c r="E576" s="714" t="s">
        <v>1723</v>
      </c>
      <c r="F576" s="1044" t="s">
        <v>2231</v>
      </c>
      <c r="G576" s="1047">
        <v>8100</v>
      </c>
      <c r="H576" s="1099" t="s">
        <v>2273</v>
      </c>
      <c r="I576" s="717">
        <f t="shared" si="19"/>
        <v>32400</v>
      </c>
      <c r="J576" s="717">
        <f t="shared" si="20"/>
        <v>21600</v>
      </c>
      <c r="K576" s="717">
        <v>54000</v>
      </c>
    </row>
    <row r="577" spans="1:11" s="510" customFormat="1" ht="74.25" hidden="1" customHeight="1">
      <c r="A577" s="1020" t="s">
        <v>1767</v>
      </c>
      <c r="B577" s="1022"/>
      <c r="C577" s="714" t="s">
        <v>1724</v>
      </c>
      <c r="D577" s="714">
        <v>10</v>
      </c>
      <c r="E577" s="714" t="s">
        <v>1723</v>
      </c>
      <c r="F577" s="1045"/>
      <c r="G577" s="1048"/>
      <c r="H577" s="1100"/>
      <c r="I577" s="717">
        <f t="shared" si="19"/>
        <v>33000</v>
      </c>
      <c r="J577" s="717">
        <f t="shared" si="20"/>
        <v>22000</v>
      </c>
      <c r="K577" s="717">
        <v>55000</v>
      </c>
    </row>
    <row r="578" spans="1:11" s="510" customFormat="1" ht="74.25" hidden="1" customHeight="1">
      <c r="A578" s="1020" t="s">
        <v>1768</v>
      </c>
      <c r="B578" s="1022"/>
      <c r="C578" s="714" t="s">
        <v>1725</v>
      </c>
      <c r="D578" s="714">
        <v>10</v>
      </c>
      <c r="E578" s="714" t="s">
        <v>1726</v>
      </c>
      <c r="F578" s="1046"/>
      <c r="G578" s="1049"/>
      <c r="H578" s="1101"/>
      <c r="I578" s="717">
        <f t="shared" si="19"/>
        <v>13200</v>
      </c>
      <c r="J578" s="717">
        <f t="shared" si="20"/>
        <v>8800</v>
      </c>
      <c r="K578" s="717">
        <v>22000</v>
      </c>
    </row>
    <row r="579" spans="1:11" s="510" customFormat="1" ht="74.25" hidden="1" customHeight="1">
      <c r="A579" s="753"/>
      <c r="B579" s="753"/>
      <c r="C579" s="754"/>
      <c r="D579" s="754"/>
      <c r="E579" s="754"/>
      <c r="F579" s="755"/>
      <c r="G579" s="758"/>
      <c r="H579" s="756"/>
      <c r="I579" s="757"/>
      <c r="J579" s="757"/>
      <c r="K579" s="757"/>
    </row>
    <row r="580" spans="1:11" s="510" customFormat="1" ht="74.25" hidden="1" customHeight="1">
      <c r="A580" s="753"/>
      <c r="B580" s="753"/>
      <c r="C580" s="754"/>
      <c r="D580" s="754"/>
      <c r="E580" s="754"/>
      <c r="F580" s="755"/>
      <c r="G580" s="758"/>
      <c r="H580" s="756"/>
      <c r="I580" s="757"/>
      <c r="J580" s="757"/>
      <c r="K580" s="757"/>
    </row>
    <row r="581" spans="1:11" s="510" customFormat="1" ht="74.25" hidden="1" customHeight="1">
      <c r="A581" s="753"/>
      <c r="B581" s="753"/>
      <c r="C581" s="754"/>
      <c r="D581" s="754"/>
      <c r="E581" s="754"/>
      <c r="F581" s="755"/>
      <c r="G581" s="758"/>
      <c r="H581" s="756"/>
      <c r="I581" s="757"/>
      <c r="J581" s="757"/>
      <c r="K581" s="757"/>
    </row>
    <row r="582" spans="1:11" s="510" customFormat="1" ht="74.25" hidden="1" customHeight="1">
      <c r="A582" s="753"/>
      <c r="B582" s="753"/>
      <c r="C582" s="754"/>
      <c r="D582" s="754"/>
      <c r="E582" s="754"/>
      <c r="F582" s="755"/>
      <c r="G582" s="758"/>
      <c r="H582" s="756"/>
      <c r="I582" s="757"/>
      <c r="J582" s="757"/>
      <c r="K582" s="757"/>
    </row>
    <row r="583" spans="1:11" s="510" customFormat="1" ht="74.25" hidden="1" customHeight="1">
      <c r="A583" s="753"/>
      <c r="B583" s="753"/>
      <c r="C583" s="754"/>
      <c r="D583" s="754"/>
      <c r="E583" s="754"/>
      <c r="F583" s="755"/>
      <c r="G583" s="758"/>
      <c r="H583" s="756"/>
      <c r="I583" s="757"/>
      <c r="J583" s="757"/>
      <c r="K583" s="757"/>
    </row>
    <row r="584" spans="1:11" s="510" customFormat="1" ht="74.25" hidden="1" customHeight="1">
      <c r="A584" s="753"/>
      <c r="B584" s="753"/>
      <c r="C584" s="754"/>
      <c r="D584" s="754"/>
      <c r="E584" s="754"/>
      <c r="F584" s="755"/>
      <c r="G584" s="758"/>
      <c r="H584" s="756"/>
      <c r="I584" s="757"/>
      <c r="J584" s="757"/>
      <c r="K584" s="757"/>
    </row>
    <row r="585" spans="1:11" s="510" customFormat="1" ht="74.25" hidden="1" customHeight="1">
      <c r="A585" s="753"/>
      <c r="B585" s="753"/>
      <c r="C585" s="754"/>
      <c r="D585" s="754"/>
      <c r="E585" s="754"/>
      <c r="F585" s="755"/>
      <c r="G585" s="758"/>
      <c r="H585" s="756"/>
      <c r="I585" s="757"/>
      <c r="J585" s="757"/>
      <c r="K585" s="757"/>
    </row>
    <row r="586" spans="1:11" s="510" customFormat="1" ht="74.25" hidden="1" customHeight="1">
      <c r="A586" s="753"/>
      <c r="B586" s="753"/>
      <c r="C586" s="754"/>
      <c r="D586" s="754"/>
      <c r="E586" s="754"/>
      <c r="F586" s="755"/>
      <c r="G586" s="758"/>
      <c r="H586" s="756"/>
      <c r="I586" s="757"/>
      <c r="J586" s="757"/>
      <c r="K586" s="757"/>
    </row>
    <row r="587" spans="1:11" s="510" customFormat="1" ht="74.25" hidden="1" customHeight="1">
      <c r="A587" s="753"/>
      <c r="B587" s="753"/>
      <c r="C587" s="754"/>
      <c r="D587" s="754"/>
      <c r="E587" s="754"/>
      <c r="F587" s="755"/>
      <c r="G587" s="758"/>
      <c r="H587" s="756"/>
      <c r="I587" s="757"/>
      <c r="J587" s="757"/>
      <c r="K587" s="757"/>
    </row>
    <row r="588" spans="1:11" s="510" customFormat="1" ht="74.25" hidden="1" customHeight="1">
      <c r="A588" s="753"/>
      <c r="B588" s="753"/>
      <c r="C588" s="754"/>
      <c r="D588" s="754"/>
      <c r="E588" s="754"/>
      <c r="F588" s="755"/>
      <c r="G588" s="758"/>
      <c r="H588" s="756"/>
      <c r="I588" s="757"/>
      <c r="J588" s="757"/>
      <c r="K588" s="757"/>
    </row>
    <row r="589" spans="1:11" s="510" customFormat="1" ht="74.25" hidden="1" customHeight="1">
      <c r="A589" s="753"/>
      <c r="B589" s="753"/>
      <c r="C589" s="754"/>
      <c r="D589" s="754"/>
      <c r="E589" s="754"/>
      <c r="F589" s="755"/>
      <c r="G589" s="758"/>
      <c r="H589" s="756"/>
      <c r="I589" s="757"/>
      <c r="J589" s="757"/>
      <c r="K589" s="757"/>
    </row>
    <row r="590" spans="1:11" s="510" customFormat="1" ht="74.25" hidden="1" customHeight="1">
      <c r="A590" s="753"/>
      <c r="B590" s="753"/>
      <c r="C590" s="754"/>
      <c r="D590" s="754"/>
      <c r="E590" s="754"/>
      <c r="F590" s="755"/>
      <c r="G590" s="758"/>
      <c r="H590" s="756"/>
      <c r="I590" s="757"/>
      <c r="J590" s="757"/>
      <c r="K590" s="757"/>
    </row>
    <row r="591" spans="1:11" ht="34.5" hidden="1" customHeight="1">
      <c r="A591" s="1128" t="s">
        <v>51</v>
      </c>
      <c r="B591" s="1128"/>
      <c r="C591" s="1128"/>
      <c r="D591" s="1128"/>
      <c r="E591" s="1128"/>
      <c r="F591" s="1128"/>
      <c r="G591" s="1128"/>
      <c r="H591" s="1128"/>
      <c r="I591" s="1128"/>
      <c r="J591" s="1128"/>
      <c r="K591" s="1128"/>
    </row>
    <row r="592" spans="1:11" ht="30.75" hidden="1" customHeight="1">
      <c r="A592" s="1128" t="s">
        <v>52</v>
      </c>
      <c r="B592" s="1128"/>
      <c r="C592" s="1128"/>
      <c r="D592" s="1128"/>
      <c r="E592" s="1128"/>
      <c r="F592" s="1128"/>
      <c r="G592" s="1128"/>
      <c r="H592" s="1128"/>
      <c r="I592" s="1128"/>
      <c r="J592" s="1128"/>
      <c r="K592" s="1128"/>
    </row>
    <row r="593" spans="1:11" ht="33" hidden="1" customHeight="1">
      <c r="A593" s="1132" t="s">
        <v>50</v>
      </c>
      <c r="B593" s="1132"/>
      <c r="C593" s="1132"/>
      <c r="D593" s="1132"/>
      <c r="E593" s="1132"/>
      <c r="F593" s="1132"/>
      <c r="G593" s="1132"/>
      <c r="H593" s="1132"/>
      <c r="I593" s="1132"/>
      <c r="J593" s="1132"/>
      <c r="K593" s="1132"/>
    </row>
    <row r="594" spans="1:11" ht="33" hidden="1" customHeight="1">
      <c r="A594" s="154"/>
      <c r="B594" s="154"/>
      <c r="C594" s="154"/>
      <c r="D594" s="154"/>
      <c r="E594" s="154"/>
      <c r="F594" s="154"/>
      <c r="G594" s="707"/>
      <c r="H594" s="707"/>
      <c r="I594" s="707"/>
      <c r="J594" s="707"/>
      <c r="K594" s="707"/>
    </row>
    <row r="595" spans="1:11" ht="35.25" hidden="1">
      <c r="A595" s="1128" t="s">
        <v>1336</v>
      </c>
      <c r="B595" s="1128"/>
      <c r="C595" s="1128"/>
      <c r="D595" s="1128"/>
      <c r="E595" s="1128"/>
      <c r="F595" s="1128"/>
      <c r="G595" s="1128"/>
      <c r="H595" s="1128"/>
      <c r="I595" s="1128"/>
      <c r="J595" s="1128"/>
      <c r="K595" s="1128"/>
    </row>
    <row r="596" spans="1:11" s="620" customFormat="1" ht="33" hidden="1">
      <c r="A596" s="65"/>
      <c r="B596" s="65"/>
      <c r="C596" s="65"/>
      <c r="D596" s="65"/>
      <c r="E596" s="65"/>
      <c r="F596" s="65"/>
      <c r="G596" s="68"/>
      <c r="H596" s="68"/>
      <c r="I596" s="68"/>
      <c r="J596" s="68"/>
      <c r="K596" s="68"/>
    </row>
    <row r="597" spans="1:11" ht="20.100000000000001" hidden="1" customHeight="1">
      <c r="A597" s="65"/>
      <c r="B597" s="65"/>
      <c r="C597" s="65"/>
      <c r="D597" s="65"/>
      <c r="E597" s="65"/>
      <c r="F597" s="65"/>
      <c r="G597" s="68"/>
      <c r="H597" s="68"/>
      <c r="I597" s="68"/>
      <c r="J597" s="68"/>
      <c r="K597" s="68"/>
    </row>
    <row r="598" spans="1:11" ht="20.100000000000001" hidden="1" customHeight="1">
      <c r="A598" s="979"/>
      <c r="B598" s="979"/>
      <c r="C598" s="979"/>
      <c r="D598" s="979"/>
      <c r="E598" s="979"/>
      <c r="F598" s="979"/>
      <c r="G598" s="979"/>
      <c r="H598" s="979"/>
      <c r="I598" s="979"/>
      <c r="J598" s="979"/>
      <c r="K598" s="979"/>
    </row>
    <row r="599" spans="1:11" ht="45.75" hidden="1" customHeight="1">
      <c r="A599" s="1030" t="s">
        <v>1381</v>
      </c>
      <c r="B599" s="1030"/>
      <c r="C599" s="1030"/>
      <c r="D599" s="1030"/>
      <c r="E599" s="1030"/>
      <c r="F599" s="1030"/>
      <c r="G599" s="1030"/>
      <c r="H599" s="1030"/>
      <c r="I599" s="1030"/>
      <c r="J599" s="1030"/>
      <c r="K599" s="1030"/>
    </row>
    <row r="600" spans="1:11" ht="66" hidden="1" customHeight="1">
      <c r="A600" s="1031" t="s">
        <v>37</v>
      </c>
      <c r="B600" s="1033"/>
      <c r="C600" s="1037" t="s">
        <v>178</v>
      </c>
      <c r="D600" s="1037" t="s">
        <v>179</v>
      </c>
      <c r="E600" s="1037" t="s">
        <v>1521</v>
      </c>
      <c r="F600" s="1037" t="s">
        <v>14</v>
      </c>
      <c r="G600" s="1037" t="s">
        <v>1515</v>
      </c>
      <c r="H600" s="1037" t="s">
        <v>16</v>
      </c>
      <c r="I600" s="1039" t="s">
        <v>1490</v>
      </c>
      <c r="J600" s="1039" t="s">
        <v>2203</v>
      </c>
      <c r="K600" s="1037" t="s">
        <v>200</v>
      </c>
    </row>
    <row r="601" spans="1:11" s="500" customFormat="1" ht="30" hidden="1">
      <c r="A601" s="1034"/>
      <c r="B601" s="1036"/>
      <c r="C601" s="1038"/>
      <c r="D601" s="1038"/>
      <c r="E601" s="1038"/>
      <c r="F601" s="1038"/>
      <c r="G601" s="1038"/>
      <c r="H601" s="1038"/>
      <c r="I601" s="1039"/>
      <c r="J601" s="1039"/>
      <c r="K601" s="1038"/>
    </row>
    <row r="602" spans="1:11" s="500" customFormat="1" ht="74.25" hidden="1" customHeight="1">
      <c r="A602" s="1102" t="s">
        <v>1844</v>
      </c>
      <c r="B602" s="1103"/>
      <c r="C602" s="729"/>
      <c r="D602" s="729"/>
      <c r="E602" s="726"/>
      <c r="F602" s="727"/>
      <c r="G602" s="728"/>
      <c r="H602" s="728"/>
      <c r="I602" s="642">
        <f>I608+I619+I603+I617</f>
        <v>113415.6</v>
      </c>
      <c r="J602" s="642">
        <f>J608+J619+J603+J617</f>
        <v>75610.399999999994</v>
      </c>
      <c r="K602" s="642">
        <f>I602+J602</f>
        <v>189026</v>
      </c>
    </row>
    <row r="603" spans="1:11" s="579" customFormat="1" ht="73.5" hidden="1" customHeight="1">
      <c r="A603" s="1011" t="s">
        <v>2251</v>
      </c>
      <c r="B603" s="1012"/>
      <c r="C603" s="1012"/>
      <c r="D603" s="1012"/>
      <c r="E603" s="1012"/>
      <c r="F603" s="1013"/>
      <c r="G603" s="709"/>
      <c r="H603" s="710"/>
      <c r="I603" s="545">
        <f>SUM(I604:I607)</f>
        <v>54003</v>
      </c>
      <c r="J603" s="545">
        <f>SUM(J604:J607)</f>
        <v>36002</v>
      </c>
      <c r="K603" s="545">
        <f>I603+J603</f>
        <v>90005</v>
      </c>
    </row>
    <row r="604" spans="1:11" s="510" customFormat="1" ht="74.25" hidden="1" customHeight="1">
      <c r="A604" s="1020" t="s">
        <v>1849</v>
      </c>
      <c r="B604" s="1022"/>
      <c r="C604" s="714" t="s">
        <v>147</v>
      </c>
      <c r="D604" s="714">
        <v>36</v>
      </c>
      <c r="E604" s="714" t="s">
        <v>1845</v>
      </c>
      <c r="F604" s="1044" t="s">
        <v>2259</v>
      </c>
      <c r="G604" s="1047">
        <v>8100</v>
      </c>
      <c r="H604" s="1099" t="s">
        <v>2273</v>
      </c>
      <c r="I604" s="717">
        <f>K604/100*60</f>
        <v>10305</v>
      </c>
      <c r="J604" s="717">
        <f>K604/100*40</f>
        <v>6870</v>
      </c>
      <c r="K604" s="717">
        <v>17175</v>
      </c>
    </row>
    <row r="605" spans="1:11" s="510" customFormat="1" ht="74.25" hidden="1" customHeight="1">
      <c r="A605" s="1020" t="s">
        <v>1850</v>
      </c>
      <c r="B605" s="1022"/>
      <c r="C605" s="714" t="s">
        <v>1846</v>
      </c>
      <c r="D605" s="714">
        <v>47</v>
      </c>
      <c r="E605" s="714" t="s">
        <v>1845</v>
      </c>
      <c r="F605" s="1045"/>
      <c r="G605" s="1048"/>
      <c r="H605" s="1100"/>
      <c r="I605" s="717">
        <f>K605/100*60</f>
        <v>9036</v>
      </c>
      <c r="J605" s="717">
        <f>K605/100*40</f>
        <v>6024</v>
      </c>
      <c r="K605" s="717">
        <v>15060</v>
      </c>
    </row>
    <row r="606" spans="1:11" s="510" customFormat="1" ht="74.25" hidden="1" customHeight="1">
      <c r="A606" s="1020" t="s">
        <v>1851</v>
      </c>
      <c r="B606" s="1022"/>
      <c r="C606" s="714" t="s">
        <v>1846</v>
      </c>
      <c r="D606" s="714">
        <v>45</v>
      </c>
      <c r="E606" s="714" t="s">
        <v>1845</v>
      </c>
      <c r="F606" s="1045"/>
      <c r="G606" s="1048"/>
      <c r="H606" s="1100"/>
      <c r="I606" s="717">
        <f>K606/100*60</f>
        <v>31662.000000000004</v>
      </c>
      <c r="J606" s="717">
        <f>K606/100*40</f>
        <v>21108</v>
      </c>
      <c r="K606" s="717">
        <v>52770</v>
      </c>
    </row>
    <row r="607" spans="1:11" s="510" customFormat="1" ht="74.25" hidden="1" customHeight="1">
      <c r="A607" s="1020" t="s">
        <v>1852</v>
      </c>
      <c r="B607" s="1022"/>
      <c r="C607" s="714" t="s">
        <v>1847</v>
      </c>
      <c r="D607" s="714">
        <v>3</v>
      </c>
      <c r="E607" s="714" t="s">
        <v>1848</v>
      </c>
      <c r="F607" s="1046"/>
      <c r="G607" s="1049"/>
      <c r="H607" s="1101"/>
      <c r="I607" s="717">
        <f>K607/100*60</f>
        <v>3000</v>
      </c>
      <c r="J607" s="717">
        <f>K607/100*40</f>
        <v>2000</v>
      </c>
      <c r="K607" s="717">
        <v>5000</v>
      </c>
    </row>
    <row r="608" spans="1:11" ht="75" hidden="1" customHeight="1">
      <c r="A608" s="1011" t="s">
        <v>1541</v>
      </c>
      <c r="B608" s="1013"/>
      <c r="C608" s="709"/>
      <c r="D608" s="709"/>
      <c r="E608" s="709"/>
      <c r="F608" s="708"/>
      <c r="G608" s="709"/>
      <c r="H608" s="710"/>
      <c r="I608" s="545">
        <f>SUM(I609:I616)</f>
        <v>48394.8</v>
      </c>
      <c r="J608" s="545">
        <f>SUM(J609:J616)</f>
        <v>32263.199999999997</v>
      </c>
      <c r="K608" s="545">
        <f>I608+J608</f>
        <v>80658</v>
      </c>
    </row>
    <row r="609" spans="1:11" s="510" customFormat="1" ht="75" hidden="1" customHeight="1">
      <c r="A609" s="1020" t="s">
        <v>1865</v>
      </c>
      <c r="B609" s="1022"/>
      <c r="C609" s="714" t="s">
        <v>1855</v>
      </c>
      <c r="D609" s="714">
        <v>3</v>
      </c>
      <c r="E609" s="714" t="s">
        <v>1856</v>
      </c>
      <c r="F609" s="776" t="s">
        <v>2229</v>
      </c>
      <c r="G609" s="1047">
        <v>8100</v>
      </c>
      <c r="H609" s="1099" t="s">
        <v>2273</v>
      </c>
      <c r="I609" s="717">
        <f t="shared" ref="I609:I616" si="21">K609/100*60</f>
        <v>4800</v>
      </c>
      <c r="J609" s="717">
        <f t="shared" ref="J609:J616" si="22">K609/100*40</f>
        <v>3200</v>
      </c>
      <c r="K609" s="717">
        <v>8000</v>
      </c>
    </row>
    <row r="610" spans="1:11" s="510" customFormat="1" ht="74.25" hidden="1" customHeight="1">
      <c r="A610" s="1020" t="s">
        <v>1866</v>
      </c>
      <c r="B610" s="1022"/>
      <c r="C610" s="714" t="s">
        <v>1853</v>
      </c>
      <c r="D610" s="714">
        <v>5</v>
      </c>
      <c r="E610" s="714" t="s">
        <v>1854</v>
      </c>
      <c r="F610" s="781" t="s">
        <v>2230</v>
      </c>
      <c r="G610" s="1048"/>
      <c r="H610" s="1100"/>
      <c r="I610" s="717">
        <f t="shared" si="21"/>
        <v>8960.4</v>
      </c>
      <c r="J610" s="717">
        <f t="shared" si="22"/>
        <v>5973.6</v>
      </c>
      <c r="K610" s="717">
        <v>14934</v>
      </c>
    </row>
    <row r="611" spans="1:11" s="510" customFormat="1" ht="75" hidden="1" customHeight="1">
      <c r="A611" s="1020" t="s">
        <v>1867</v>
      </c>
      <c r="B611" s="1022"/>
      <c r="C611" s="714" t="s">
        <v>1857</v>
      </c>
      <c r="D611" s="714">
        <v>12</v>
      </c>
      <c r="E611" s="714" t="s">
        <v>1858</v>
      </c>
      <c r="F611" s="1044" t="s">
        <v>2231</v>
      </c>
      <c r="G611" s="1048"/>
      <c r="H611" s="1100"/>
      <c r="I611" s="717">
        <f t="shared" si="21"/>
        <v>2100</v>
      </c>
      <c r="J611" s="717">
        <f t="shared" si="22"/>
        <v>1400</v>
      </c>
      <c r="K611" s="717">
        <v>3500</v>
      </c>
    </row>
    <row r="612" spans="1:11" s="510" customFormat="1" ht="75" hidden="1" customHeight="1">
      <c r="A612" s="1020" t="s">
        <v>1868</v>
      </c>
      <c r="B612" s="1022"/>
      <c r="C612" s="714" t="s">
        <v>1859</v>
      </c>
      <c r="D612" s="714">
        <v>1</v>
      </c>
      <c r="E612" s="714" t="s">
        <v>1860</v>
      </c>
      <c r="F612" s="1045"/>
      <c r="G612" s="1048"/>
      <c r="H612" s="1100"/>
      <c r="I612" s="717">
        <f t="shared" si="21"/>
        <v>12660</v>
      </c>
      <c r="J612" s="717">
        <f t="shared" si="22"/>
        <v>8440</v>
      </c>
      <c r="K612" s="717">
        <v>21100</v>
      </c>
    </row>
    <row r="613" spans="1:11" s="510" customFormat="1" ht="75" hidden="1" customHeight="1">
      <c r="A613" s="1020" t="s">
        <v>1869</v>
      </c>
      <c r="B613" s="1022"/>
      <c r="C613" s="714" t="s">
        <v>1861</v>
      </c>
      <c r="D613" s="714">
        <v>16</v>
      </c>
      <c r="E613" s="714" t="s">
        <v>1862</v>
      </c>
      <c r="F613" s="1045"/>
      <c r="G613" s="1048"/>
      <c r="H613" s="1100"/>
      <c r="I613" s="717">
        <f t="shared" si="21"/>
        <v>7200</v>
      </c>
      <c r="J613" s="717">
        <f t="shared" si="22"/>
        <v>4800</v>
      </c>
      <c r="K613" s="717">
        <v>12000</v>
      </c>
    </row>
    <row r="614" spans="1:11" s="510" customFormat="1" ht="75" hidden="1" customHeight="1">
      <c r="A614" s="1020" t="s">
        <v>1870</v>
      </c>
      <c r="B614" s="1022"/>
      <c r="C614" s="714" t="s">
        <v>1853</v>
      </c>
      <c r="D614" s="714">
        <v>5</v>
      </c>
      <c r="E614" s="714" t="s">
        <v>1854</v>
      </c>
      <c r="F614" s="1045"/>
      <c r="G614" s="1048"/>
      <c r="H614" s="1100"/>
      <c r="I614" s="717">
        <f t="shared" si="21"/>
        <v>900</v>
      </c>
      <c r="J614" s="717">
        <f t="shared" si="22"/>
        <v>600</v>
      </c>
      <c r="K614" s="717">
        <v>1500</v>
      </c>
    </row>
    <row r="615" spans="1:11" s="510" customFormat="1" ht="75" hidden="1" customHeight="1">
      <c r="A615" s="1020" t="s">
        <v>1871</v>
      </c>
      <c r="B615" s="1022"/>
      <c r="C615" s="714" t="s">
        <v>1863</v>
      </c>
      <c r="D615" s="714">
        <v>3</v>
      </c>
      <c r="E615" s="714" t="s">
        <v>1864</v>
      </c>
      <c r="F615" s="1045"/>
      <c r="G615" s="1048"/>
      <c r="H615" s="1100"/>
      <c r="I615" s="717">
        <f t="shared" si="21"/>
        <v>7574.4</v>
      </c>
      <c r="J615" s="717">
        <f t="shared" si="22"/>
        <v>5049.5999999999995</v>
      </c>
      <c r="K615" s="717">
        <v>12624</v>
      </c>
    </row>
    <row r="616" spans="1:11" s="510" customFormat="1" ht="75" hidden="1" customHeight="1">
      <c r="A616" s="1020" t="s">
        <v>1872</v>
      </c>
      <c r="B616" s="1022"/>
      <c r="C616" s="714" t="s">
        <v>1861</v>
      </c>
      <c r="D616" s="714">
        <v>16</v>
      </c>
      <c r="E616" s="714" t="s">
        <v>1862</v>
      </c>
      <c r="F616" s="1046"/>
      <c r="G616" s="1049"/>
      <c r="H616" s="1101"/>
      <c r="I616" s="717">
        <f t="shared" si="21"/>
        <v>4200</v>
      </c>
      <c r="J616" s="717">
        <f t="shared" si="22"/>
        <v>2800</v>
      </c>
      <c r="K616" s="717">
        <v>7000</v>
      </c>
    </row>
    <row r="617" spans="1:11" ht="74.25" hidden="1" customHeight="1">
      <c r="A617" s="1011" t="s">
        <v>278</v>
      </c>
      <c r="B617" s="1013"/>
      <c r="C617" s="504"/>
      <c r="D617" s="709"/>
      <c r="E617" s="709"/>
      <c r="F617" s="708"/>
      <c r="G617" s="709"/>
      <c r="H617" s="710"/>
      <c r="I617" s="545">
        <f>SUM(I618)</f>
        <v>3900</v>
      </c>
      <c r="J617" s="545">
        <f>SUM(J618)</f>
        <v>2600</v>
      </c>
      <c r="K617" s="545">
        <f>I617+J617</f>
        <v>6500</v>
      </c>
    </row>
    <row r="618" spans="1:11" s="510" customFormat="1" ht="74.25" hidden="1" customHeight="1">
      <c r="A618" s="1020" t="s">
        <v>1873</v>
      </c>
      <c r="B618" s="1022"/>
      <c r="C618" s="714" t="s">
        <v>1215</v>
      </c>
      <c r="D618" s="714">
        <v>3</v>
      </c>
      <c r="E618" s="725" t="s">
        <v>1874</v>
      </c>
      <c r="F618" s="777" t="s">
        <v>2234</v>
      </c>
      <c r="G618" s="711">
        <v>8100</v>
      </c>
      <c r="H618" s="794" t="s">
        <v>2445</v>
      </c>
      <c r="I618" s="717">
        <f>K618/100*60</f>
        <v>3900</v>
      </c>
      <c r="J618" s="717">
        <f>K618/100*40</f>
        <v>2600</v>
      </c>
      <c r="K618" s="717">
        <v>6500</v>
      </c>
    </row>
    <row r="619" spans="1:11" ht="73.5" hidden="1" customHeight="1">
      <c r="A619" s="1011" t="s">
        <v>312</v>
      </c>
      <c r="B619" s="1013"/>
      <c r="C619" s="709"/>
      <c r="D619" s="709"/>
      <c r="E619" s="709"/>
      <c r="F619" s="708"/>
      <c r="G619" s="709"/>
      <c r="H619" s="710"/>
      <c r="I619" s="545">
        <f>SUM(I620:I621)</f>
        <v>7117.7999999999993</v>
      </c>
      <c r="J619" s="545">
        <f>SUM(J620:J621)</f>
        <v>4745.2</v>
      </c>
      <c r="K619" s="545">
        <f>I619+J619</f>
        <v>11863</v>
      </c>
    </row>
    <row r="620" spans="1:11" s="510" customFormat="1" ht="74.25" hidden="1" customHeight="1">
      <c r="A620" s="1020" t="s">
        <v>1875</v>
      </c>
      <c r="B620" s="1022"/>
      <c r="C620" s="714" t="s">
        <v>1623</v>
      </c>
      <c r="D620" s="714">
        <v>8</v>
      </c>
      <c r="E620" s="714" t="s">
        <v>1877</v>
      </c>
      <c r="F620" s="1044" t="s">
        <v>2224</v>
      </c>
      <c r="G620" s="1047">
        <v>8100</v>
      </c>
      <c r="H620" s="1099" t="s">
        <v>2273</v>
      </c>
      <c r="I620" s="717">
        <f>K620/100*60</f>
        <v>1710</v>
      </c>
      <c r="J620" s="717">
        <f>K620/100*40</f>
        <v>1140</v>
      </c>
      <c r="K620" s="717">
        <v>2850</v>
      </c>
    </row>
    <row r="621" spans="1:11" s="510" customFormat="1" ht="74.25" hidden="1" customHeight="1">
      <c r="A621" s="1020" t="s">
        <v>1876</v>
      </c>
      <c r="B621" s="1022"/>
      <c r="C621" s="714" t="s">
        <v>1861</v>
      </c>
      <c r="D621" s="714">
        <v>15</v>
      </c>
      <c r="E621" s="714" t="s">
        <v>1878</v>
      </c>
      <c r="F621" s="1046"/>
      <c r="G621" s="1049"/>
      <c r="H621" s="1101"/>
      <c r="I621" s="717">
        <f>K621/100*60</f>
        <v>5407.7999999999993</v>
      </c>
      <c r="J621" s="717">
        <f>K621/100*40</f>
        <v>3605.2</v>
      </c>
      <c r="K621" s="717">
        <v>9013</v>
      </c>
    </row>
    <row r="622" spans="1:11" ht="96" hidden="1" customHeight="1">
      <c r="A622" s="1141"/>
      <c r="B622" s="1141"/>
      <c r="C622" s="1141"/>
      <c r="D622" s="1141"/>
      <c r="E622" s="1141"/>
      <c r="F622" s="1141"/>
      <c r="G622" s="1141"/>
      <c r="H622" s="1141"/>
      <c r="I622" s="1141"/>
      <c r="J622" s="1141"/>
      <c r="K622" s="1141"/>
    </row>
    <row r="623" spans="1:11" ht="54.75" hidden="1" customHeight="1">
      <c r="A623" s="528"/>
      <c r="B623" s="529"/>
      <c r="C623" s="529"/>
      <c r="D623" s="530"/>
      <c r="E623" s="531"/>
      <c r="F623" s="532"/>
      <c r="G623" s="533"/>
      <c r="H623" s="649"/>
      <c r="I623" s="535"/>
      <c r="J623" s="535"/>
      <c r="K623" s="535"/>
    </row>
    <row r="624" spans="1:11" ht="54.75" hidden="1" customHeight="1">
      <c r="A624" s="528"/>
      <c r="B624" s="529"/>
      <c r="C624" s="529"/>
      <c r="D624" s="530"/>
      <c r="E624" s="531"/>
      <c r="F624" s="532"/>
      <c r="G624" s="533"/>
      <c r="H624" s="649"/>
      <c r="I624" s="535"/>
      <c r="J624" s="535"/>
      <c r="K624" s="535"/>
    </row>
    <row r="625" spans="1:11" ht="54.75" hidden="1" customHeight="1">
      <c r="A625" s="528"/>
      <c r="B625" s="529"/>
      <c r="C625" s="529"/>
      <c r="D625" s="530"/>
      <c r="E625" s="531"/>
      <c r="F625" s="532"/>
      <c r="G625" s="533"/>
      <c r="H625" s="649"/>
      <c r="I625" s="535"/>
      <c r="J625" s="535"/>
      <c r="K625" s="535"/>
    </row>
    <row r="626" spans="1:11" ht="54.75" hidden="1" customHeight="1">
      <c r="A626" s="528"/>
      <c r="B626" s="529"/>
      <c r="C626" s="529"/>
      <c r="D626" s="530"/>
      <c r="E626" s="531"/>
      <c r="F626" s="532"/>
      <c r="G626" s="533"/>
      <c r="H626" s="649"/>
      <c r="I626" s="535"/>
      <c r="J626" s="535"/>
      <c r="K626" s="535"/>
    </row>
    <row r="627" spans="1:11" ht="54.75" hidden="1" customHeight="1">
      <c r="A627" s="528"/>
      <c r="B627" s="529"/>
      <c r="C627" s="529"/>
      <c r="D627" s="530"/>
      <c r="E627" s="531"/>
      <c r="F627" s="532"/>
      <c r="G627" s="533"/>
      <c r="H627" s="649"/>
      <c r="I627" s="535"/>
      <c r="J627" s="535"/>
      <c r="K627" s="535"/>
    </row>
    <row r="628" spans="1:11" ht="54.75" hidden="1" customHeight="1">
      <c r="A628" s="528"/>
      <c r="B628" s="529"/>
      <c r="C628" s="529"/>
      <c r="D628" s="530"/>
      <c r="E628" s="531"/>
      <c r="F628" s="532"/>
      <c r="G628" s="533"/>
      <c r="H628" s="649"/>
      <c r="I628" s="535"/>
      <c r="J628" s="535"/>
      <c r="K628" s="535"/>
    </row>
    <row r="629" spans="1:11" ht="54.75" hidden="1" customHeight="1">
      <c r="A629" s="528"/>
      <c r="B629" s="529"/>
      <c r="C629" s="529"/>
      <c r="D629" s="530"/>
      <c r="E629" s="531"/>
      <c r="F629" s="532"/>
      <c r="G629" s="533"/>
      <c r="H629" s="649"/>
      <c r="I629" s="535"/>
      <c r="J629" s="535"/>
      <c r="K629" s="535"/>
    </row>
    <row r="630" spans="1:11" ht="54.75" hidden="1" customHeight="1">
      <c r="A630" s="528"/>
      <c r="B630" s="529"/>
      <c r="C630" s="529"/>
      <c r="D630" s="530"/>
      <c r="E630" s="531"/>
      <c r="F630" s="532"/>
      <c r="G630" s="533"/>
      <c r="H630" s="649"/>
      <c r="I630" s="535"/>
      <c r="J630" s="535"/>
      <c r="K630" s="535"/>
    </row>
    <row r="631" spans="1:11" ht="54.75" hidden="1" customHeight="1">
      <c r="A631" s="528"/>
      <c r="B631" s="529"/>
      <c r="C631" s="529"/>
      <c r="D631" s="530"/>
      <c r="E631" s="531"/>
      <c r="F631" s="532"/>
      <c r="G631" s="533"/>
      <c r="H631" s="649"/>
      <c r="I631" s="535"/>
      <c r="J631" s="535"/>
      <c r="K631" s="535"/>
    </row>
    <row r="632" spans="1:11" ht="54.75" hidden="1" customHeight="1">
      <c r="A632" s="528"/>
      <c r="B632" s="529"/>
      <c r="C632" s="529"/>
      <c r="D632" s="530"/>
      <c r="E632" s="531"/>
      <c r="F632" s="532"/>
      <c r="G632" s="533"/>
      <c r="H632" s="649"/>
      <c r="I632" s="535"/>
      <c r="J632" s="535"/>
      <c r="K632" s="535"/>
    </row>
    <row r="633" spans="1:11" ht="54.75" hidden="1" customHeight="1">
      <c r="A633" s="528"/>
      <c r="B633" s="529"/>
      <c r="C633" s="529"/>
      <c r="D633" s="530"/>
      <c r="E633" s="531"/>
      <c r="F633" s="532"/>
      <c r="G633" s="533"/>
      <c r="H633" s="649"/>
      <c r="I633" s="535"/>
      <c r="J633" s="535"/>
      <c r="K633" s="535"/>
    </row>
    <row r="634" spans="1:11" ht="54.75" hidden="1" customHeight="1">
      <c r="A634" s="528"/>
      <c r="B634" s="529"/>
      <c r="C634" s="529"/>
      <c r="D634" s="530"/>
      <c r="E634" s="531"/>
      <c r="F634" s="532"/>
      <c r="G634" s="533"/>
      <c r="H634" s="649"/>
      <c r="I634" s="535"/>
      <c r="J634" s="535"/>
      <c r="K634" s="535"/>
    </row>
    <row r="635" spans="1:11" ht="54.75" hidden="1" customHeight="1">
      <c r="A635" s="528"/>
      <c r="B635" s="529"/>
      <c r="C635" s="529"/>
      <c r="D635" s="530"/>
      <c r="E635" s="531"/>
      <c r="F635" s="532"/>
      <c r="G635" s="533"/>
      <c r="H635" s="649"/>
      <c r="I635" s="535"/>
      <c r="J635" s="535"/>
      <c r="K635" s="535"/>
    </row>
    <row r="636" spans="1:11" ht="34.5" hidden="1" customHeight="1">
      <c r="A636" s="1128" t="s">
        <v>51</v>
      </c>
      <c r="B636" s="1128"/>
      <c r="C636" s="1128"/>
      <c r="D636" s="1128"/>
      <c r="E636" s="1128"/>
      <c r="F636" s="1128"/>
      <c r="G636" s="1128"/>
      <c r="H636" s="1128"/>
      <c r="I636" s="1128"/>
      <c r="J636" s="1128"/>
      <c r="K636" s="1128"/>
    </row>
    <row r="637" spans="1:11" ht="30.75" hidden="1" customHeight="1">
      <c r="A637" s="1128" t="s">
        <v>52</v>
      </c>
      <c r="B637" s="1128"/>
      <c r="C637" s="1128"/>
      <c r="D637" s="1128"/>
      <c r="E637" s="1128"/>
      <c r="F637" s="1128"/>
      <c r="G637" s="1128"/>
      <c r="H637" s="1128"/>
      <c r="I637" s="1128"/>
      <c r="J637" s="1128"/>
      <c r="K637" s="1128"/>
    </row>
    <row r="638" spans="1:11" ht="33" hidden="1" customHeight="1">
      <c r="A638" s="1132" t="s">
        <v>50</v>
      </c>
      <c r="B638" s="1132"/>
      <c r="C638" s="1132"/>
      <c r="D638" s="1132"/>
      <c r="E638" s="1132"/>
      <c r="F638" s="1132"/>
      <c r="G638" s="1132"/>
      <c r="H638" s="1132"/>
      <c r="I638" s="1132"/>
      <c r="J638" s="1132"/>
      <c r="K638" s="1132"/>
    </row>
    <row r="639" spans="1:11" ht="33" hidden="1" customHeight="1">
      <c r="A639" s="154"/>
      <c r="B639" s="154"/>
      <c r="C639" s="154"/>
      <c r="D639" s="154"/>
      <c r="E639" s="154"/>
      <c r="F639" s="154"/>
      <c r="G639" s="707"/>
      <c r="H639" s="707"/>
      <c r="I639" s="707"/>
      <c r="J639" s="707"/>
      <c r="K639" s="707"/>
    </row>
    <row r="640" spans="1:11" ht="35.25" hidden="1">
      <c r="A640" s="1128" t="s">
        <v>1336</v>
      </c>
      <c r="B640" s="1128"/>
      <c r="C640" s="1128"/>
      <c r="D640" s="1128"/>
      <c r="E640" s="1128"/>
      <c r="F640" s="1128"/>
      <c r="G640" s="1128"/>
      <c r="H640" s="1128"/>
      <c r="I640" s="1128"/>
      <c r="J640" s="1128"/>
      <c r="K640" s="1128"/>
    </row>
    <row r="641" spans="1:11" s="620" customFormat="1" ht="33" hidden="1">
      <c r="A641" s="65"/>
      <c r="B641" s="65"/>
      <c r="C641" s="65"/>
      <c r="D641" s="65"/>
      <c r="E641" s="65"/>
      <c r="F641" s="65"/>
      <c r="G641" s="68"/>
      <c r="H641" s="68"/>
      <c r="I641" s="68"/>
      <c r="J641" s="68"/>
      <c r="K641" s="68"/>
    </row>
    <row r="642" spans="1:11" ht="20.100000000000001" hidden="1" customHeight="1">
      <c r="A642" s="65"/>
      <c r="B642" s="65"/>
      <c r="C642" s="65"/>
      <c r="D642" s="65"/>
      <c r="E642" s="65"/>
      <c r="F642" s="65"/>
      <c r="G642" s="68"/>
      <c r="H642" s="68"/>
      <c r="I642" s="68"/>
      <c r="J642" s="68"/>
      <c r="K642" s="68"/>
    </row>
    <row r="643" spans="1:11" ht="20.100000000000001" hidden="1" customHeight="1">
      <c r="A643" s="979"/>
      <c r="B643" s="979"/>
      <c r="C643" s="979"/>
      <c r="D643" s="979"/>
      <c r="E643" s="979"/>
      <c r="F643" s="979"/>
      <c r="G643" s="979"/>
      <c r="H643" s="979"/>
      <c r="I643" s="979"/>
      <c r="J643" s="979"/>
      <c r="K643" s="979"/>
    </row>
    <row r="644" spans="1:11" ht="45.75" hidden="1" customHeight="1">
      <c r="A644" s="1030" t="s">
        <v>1381</v>
      </c>
      <c r="B644" s="1030"/>
      <c r="C644" s="1030"/>
      <c r="D644" s="1030"/>
      <c r="E644" s="1030"/>
      <c r="F644" s="1030"/>
      <c r="G644" s="1030"/>
      <c r="H644" s="1030"/>
      <c r="I644" s="1030"/>
      <c r="J644" s="1030"/>
      <c r="K644" s="1030"/>
    </row>
    <row r="645" spans="1:11" ht="66" hidden="1" customHeight="1">
      <c r="A645" s="1031" t="s">
        <v>37</v>
      </c>
      <c r="B645" s="1033"/>
      <c r="C645" s="1037" t="s">
        <v>178</v>
      </c>
      <c r="D645" s="1037" t="s">
        <v>179</v>
      </c>
      <c r="E645" s="1037" t="s">
        <v>1521</v>
      </c>
      <c r="F645" s="1037" t="s">
        <v>14</v>
      </c>
      <c r="G645" s="1037" t="s">
        <v>1515</v>
      </c>
      <c r="H645" s="1037" t="s">
        <v>16</v>
      </c>
      <c r="I645" s="1039" t="s">
        <v>1490</v>
      </c>
      <c r="J645" s="1039" t="s">
        <v>2203</v>
      </c>
      <c r="K645" s="1037" t="s">
        <v>200</v>
      </c>
    </row>
    <row r="646" spans="1:11" s="500" customFormat="1" ht="30" hidden="1">
      <c r="A646" s="1034"/>
      <c r="B646" s="1036"/>
      <c r="C646" s="1038"/>
      <c r="D646" s="1038"/>
      <c r="E646" s="1038"/>
      <c r="F646" s="1038"/>
      <c r="G646" s="1038"/>
      <c r="H646" s="1038"/>
      <c r="I646" s="1039"/>
      <c r="J646" s="1039"/>
      <c r="K646" s="1038"/>
    </row>
    <row r="647" spans="1:11" s="500" customFormat="1" ht="74.25" hidden="1" customHeight="1">
      <c r="A647" s="1102" t="s">
        <v>1805</v>
      </c>
      <c r="B647" s="1103"/>
      <c r="C647" s="729"/>
      <c r="D647" s="729"/>
      <c r="E647" s="726"/>
      <c r="F647" s="727"/>
      <c r="G647" s="728"/>
      <c r="H647" s="728"/>
      <c r="I647" s="642">
        <f>I648+I654+I656+I659</f>
        <v>242085.19999999998</v>
      </c>
      <c r="J647" s="642">
        <f>J648+J654+J656+J659</f>
        <v>139238.79999999999</v>
      </c>
      <c r="K647" s="642">
        <f>I647+J647</f>
        <v>381324</v>
      </c>
    </row>
    <row r="648" spans="1:11" ht="75" hidden="1" customHeight="1">
      <c r="A648" s="1011" t="s">
        <v>1541</v>
      </c>
      <c r="B648" s="1013"/>
      <c r="C648" s="709"/>
      <c r="D648" s="709"/>
      <c r="E648" s="709"/>
      <c r="F648" s="708"/>
      <c r="G648" s="709"/>
      <c r="H648" s="710"/>
      <c r="I648" s="545">
        <f>SUM(I649:I653)</f>
        <v>21299.4</v>
      </c>
      <c r="J648" s="545">
        <f>SUM(J649:J653)</f>
        <v>14199.6</v>
      </c>
      <c r="K648" s="545">
        <f>I648+J648</f>
        <v>35499</v>
      </c>
    </row>
    <row r="649" spans="1:11" s="510" customFormat="1" ht="74.25" hidden="1" customHeight="1">
      <c r="A649" s="1020" t="s">
        <v>1806</v>
      </c>
      <c r="B649" s="1022"/>
      <c r="C649" s="714" t="s">
        <v>1813</v>
      </c>
      <c r="D649" s="714">
        <v>36</v>
      </c>
      <c r="E649" s="725" t="s">
        <v>1810</v>
      </c>
      <c r="F649" s="1044" t="s">
        <v>2229</v>
      </c>
      <c r="G649" s="1047">
        <v>8100</v>
      </c>
      <c r="H649" s="1099" t="s">
        <v>2273</v>
      </c>
      <c r="I649" s="717">
        <f>K649/100*60</f>
        <v>3600</v>
      </c>
      <c r="J649" s="717">
        <f>K649/100*40</f>
        <v>2400</v>
      </c>
      <c r="K649" s="717">
        <v>6000</v>
      </c>
    </row>
    <row r="650" spans="1:11" s="510" customFormat="1" ht="75" hidden="1" customHeight="1">
      <c r="A650" s="1020" t="s">
        <v>1807</v>
      </c>
      <c r="B650" s="1022"/>
      <c r="C650" s="714" t="s">
        <v>1814</v>
      </c>
      <c r="D650" s="714">
        <v>5</v>
      </c>
      <c r="E650" s="725" t="s">
        <v>1811</v>
      </c>
      <c r="F650" s="1045"/>
      <c r="G650" s="1048"/>
      <c r="H650" s="1100"/>
      <c r="I650" s="717">
        <f>K650/100*60</f>
        <v>1500</v>
      </c>
      <c r="J650" s="717">
        <f>K650/100*40</f>
        <v>1000</v>
      </c>
      <c r="K650" s="717">
        <v>2500</v>
      </c>
    </row>
    <row r="651" spans="1:11" s="510" customFormat="1" ht="75" hidden="1" customHeight="1">
      <c r="A651" s="1020" t="s">
        <v>506</v>
      </c>
      <c r="B651" s="1022"/>
      <c r="C651" s="714" t="s">
        <v>1816</v>
      </c>
      <c r="D651" s="744">
        <v>3</v>
      </c>
      <c r="E651" s="725" t="s">
        <v>1810</v>
      </c>
      <c r="F651" s="1046"/>
      <c r="G651" s="1048"/>
      <c r="H651" s="1100"/>
      <c r="I651" s="717">
        <f>K651/100*60</f>
        <v>3000</v>
      </c>
      <c r="J651" s="717">
        <f>K651/100*40</f>
        <v>2000</v>
      </c>
      <c r="K651" s="717">
        <v>5000</v>
      </c>
    </row>
    <row r="652" spans="1:11" s="510" customFormat="1" ht="75" hidden="1" customHeight="1">
      <c r="A652" s="1020" t="s">
        <v>1808</v>
      </c>
      <c r="B652" s="1022"/>
      <c r="C652" s="714" t="s">
        <v>1815</v>
      </c>
      <c r="D652" s="714">
        <v>1</v>
      </c>
      <c r="E652" s="725" t="s">
        <v>1812</v>
      </c>
      <c r="F652" s="1044" t="s">
        <v>2231</v>
      </c>
      <c r="G652" s="1048"/>
      <c r="H652" s="1100"/>
      <c r="I652" s="717">
        <f>K652/100*60</f>
        <v>4199.3999999999996</v>
      </c>
      <c r="J652" s="717">
        <f>K652/100*40</f>
        <v>2799.6</v>
      </c>
      <c r="K652" s="717">
        <v>6999</v>
      </c>
    </row>
    <row r="653" spans="1:11" s="510" customFormat="1" ht="75" hidden="1" customHeight="1">
      <c r="A653" s="1020" t="s">
        <v>1809</v>
      </c>
      <c r="B653" s="1022"/>
      <c r="C653" s="714" t="s">
        <v>1815</v>
      </c>
      <c r="D653" s="714">
        <v>3</v>
      </c>
      <c r="E653" s="725" t="s">
        <v>1812</v>
      </c>
      <c r="F653" s="1046"/>
      <c r="G653" s="1048"/>
      <c r="H653" s="1100"/>
      <c r="I653" s="717">
        <f>K653/100*60</f>
        <v>9000</v>
      </c>
      <c r="J653" s="717">
        <f>K653/100*40</f>
        <v>6000</v>
      </c>
      <c r="K653" s="717">
        <v>15000</v>
      </c>
    </row>
    <row r="654" spans="1:11" ht="74.25" hidden="1" customHeight="1">
      <c r="A654" s="1011" t="s">
        <v>278</v>
      </c>
      <c r="B654" s="1013"/>
      <c r="C654" s="504"/>
      <c r="D654" s="709"/>
      <c r="E654" s="709"/>
      <c r="F654" s="708"/>
      <c r="G654" s="709"/>
      <c r="H654" s="710"/>
      <c r="I654" s="545">
        <f>SUM(I655)</f>
        <v>4800</v>
      </c>
      <c r="J654" s="545">
        <f>SUM(J655)</f>
        <v>3200</v>
      </c>
      <c r="K654" s="545">
        <f>I654+J654</f>
        <v>8000</v>
      </c>
    </row>
    <row r="655" spans="1:11" s="510" customFormat="1" ht="74.25" hidden="1" customHeight="1">
      <c r="A655" s="1020" t="s">
        <v>1817</v>
      </c>
      <c r="B655" s="1022"/>
      <c r="C655" s="714" t="s">
        <v>1215</v>
      </c>
      <c r="D655" s="714">
        <v>6</v>
      </c>
      <c r="E655" s="725" t="s">
        <v>1818</v>
      </c>
      <c r="F655" s="777" t="s">
        <v>2234</v>
      </c>
      <c r="G655" s="711">
        <v>8100</v>
      </c>
      <c r="H655" s="794" t="s">
        <v>2445</v>
      </c>
      <c r="I655" s="717">
        <f>K655/100*60</f>
        <v>4800</v>
      </c>
      <c r="J655" s="717">
        <f>K655/100*40</f>
        <v>3200</v>
      </c>
      <c r="K655" s="717">
        <v>8000</v>
      </c>
    </row>
    <row r="656" spans="1:11" ht="73.5" hidden="1" customHeight="1">
      <c r="A656" s="1011" t="s">
        <v>312</v>
      </c>
      <c r="B656" s="1013"/>
      <c r="C656" s="709"/>
      <c r="D656" s="709"/>
      <c r="E656" s="709"/>
      <c r="F656" s="708"/>
      <c r="G656" s="709"/>
      <c r="H656" s="710"/>
      <c r="I656" s="545">
        <f>SUM(I657:I658)</f>
        <v>10500</v>
      </c>
      <c r="J656" s="545">
        <f>SUM(J657:J658)</f>
        <v>7000</v>
      </c>
      <c r="K656" s="545">
        <f>I656+J656</f>
        <v>17500</v>
      </c>
    </row>
    <row r="657" spans="1:13" s="510" customFormat="1" ht="74.25" hidden="1" customHeight="1">
      <c r="A657" s="1020" t="s">
        <v>1819</v>
      </c>
      <c r="B657" s="1022"/>
      <c r="C657" s="714" t="s">
        <v>1821</v>
      </c>
      <c r="D657" s="714">
        <v>3</v>
      </c>
      <c r="E657" s="725" t="s">
        <v>1810</v>
      </c>
      <c r="F657" s="1044" t="s">
        <v>2224</v>
      </c>
      <c r="G657" s="1047">
        <v>8100</v>
      </c>
      <c r="H657" s="1099" t="s">
        <v>2273</v>
      </c>
      <c r="I657" s="717">
        <f>K657/100*60</f>
        <v>3300</v>
      </c>
      <c r="J657" s="717">
        <f>K657/100*40</f>
        <v>2200</v>
      </c>
      <c r="K657" s="717">
        <v>5500</v>
      </c>
    </row>
    <row r="658" spans="1:13" s="510" customFormat="1" ht="74.25" hidden="1" customHeight="1">
      <c r="A658" s="1020" t="s">
        <v>1820</v>
      </c>
      <c r="B658" s="1022"/>
      <c r="C658" s="714" t="s">
        <v>1815</v>
      </c>
      <c r="D658" s="714">
        <v>2</v>
      </c>
      <c r="E658" s="725" t="s">
        <v>1812</v>
      </c>
      <c r="F658" s="1046"/>
      <c r="G658" s="1048"/>
      <c r="H658" s="1100"/>
      <c r="I658" s="717">
        <f>K658/100*60</f>
        <v>7200</v>
      </c>
      <c r="J658" s="717">
        <f>K658/100*40</f>
        <v>4800</v>
      </c>
      <c r="K658" s="717">
        <v>12000</v>
      </c>
    </row>
    <row r="659" spans="1:13" ht="73.5" hidden="1" customHeight="1">
      <c r="A659" s="1011" t="s">
        <v>821</v>
      </c>
      <c r="B659" s="1013"/>
      <c r="C659" s="709"/>
      <c r="D659" s="709"/>
      <c r="E659" s="709"/>
      <c r="F659" s="708"/>
      <c r="G659" s="709"/>
      <c r="H659" s="710"/>
      <c r="I659" s="545">
        <f>SUM(I660:I674)</f>
        <v>205485.8</v>
      </c>
      <c r="J659" s="545">
        <f>SUM(J660:J674)</f>
        <v>114839.2</v>
      </c>
      <c r="K659" s="545">
        <f>I659+J659</f>
        <v>320325</v>
      </c>
    </row>
    <row r="660" spans="1:13" s="510" customFormat="1" ht="74.25" hidden="1" customHeight="1">
      <c r="A660" s="1020" t="s">
        <v>1831</v>
      </c>
      <c r="B660" s="1022"/>
      <c r="C660" s="714" t="s">
        <v>1827</v>
      </c>
      <c r="D660" s="714">
        <v>2</v>
      </c>
      <c r="E660" s="725" t="s">
        <v>1818</v>
      </c>
      <c r="F660" s="1044" t="s">
        <v>2244</v>
      </c>
      <c r="G660" s="1047">
        <v>8100</v>
      </c>
      <c r="H660" s="1099" t="s">
        <v>2274</v>
      </c>
      <c r="I660" s="717">
        <f t="shared" ref="I660:I670" si="23">K660/100*60</f>
        <v>4800</v>
      </c>
      <c r="J660" s="717">
        <f t="shared" ref="J660:J670" si="24">K660/100*40</f>
        <v>3200</v>
      </c>
      <c r="K660" s="717">
        <v>8000</v>
      </c>
    </row>
    <row r="661" spans="1:13" s="510" customFormat="1" ht="74.25" hidden="1" customHeight="1">
      <c r="A661" s="1020" t="s">
        <v>1832</v>
      </c>
      <c r="B661" s="1022"/>
      <c r="C661" s="714" t="s">
        <v>1827</v>
      </c>
      <c r="D661" s="714">
        <v>12</v>
      </c>
      <c r="E661" s="725" t="s">
        <v>1818</v>
      </c>
      <c r="F661" s="1046"/>
      <c r="G661" s="1048"/>
      <c r="H661" s="1100"/>
      <c r="I661" s="717">
        <f t="shared" si="23"/>
        <v>18000</v>
      </c>
      <c r="J661" s="717">
        <f t="shared" si="24"/>
        <v>12000</v>
      </c>
      <c r="K661" s="717">
        <v>30000</v>
      </c>
    </row>
    <row r="662" spans="1:13" s="510" customFormat="1" ht="74.25" hidden="1" customHeight="1">
      <c r="A662" s="1020" t="s">
        <v>1833</v>
      </c>
      <c r="B662" s="1022"/>
      <c r="C662" s="714" t="s">
        <v>1822</v>
      </c>
      <c r="D662" s="714">
        <v>6</v>
      </c>
      <c r="E662" s="725" t="s">
        <v>1823</v>
      </c>
      <c r="F662" s="1044" t="s">
        <v>2243</v>
      </c>
      <c r="G662" s="1047">
        <v>8100</v>
      </c>
      <c r="H662" s="1099" t="s">
        <v>2274</v>
      </c>
      <c r="I662" s="717">
        <f>36000-9568</f>
        <v>26432</v>
      </c>
      <c r="J662" s="717">
        <f>24000-1736</f>
        <v>22264</v>
      </c>
      <c r="K662" s="717">
        <f>I662+J662</f>
        <v>48696</v>
      </c>
    </row>
    <row r="663" spans="1:13" s="510" customFormat="1" ht="74.25" hidden="1" customHeight="1">
      <c r="A663" s="1020" t="s">
        <v>1834</v>
      </c>
      <c r="B663" s="1022"/>
      <c r="C663" s="714" t="s">
        <v>1824</v>
      </c>
      <c r="D663" s="714">
        <v>4</v>
      </c>
      <c r="E663" s="725" t="s">
        <v>1823</v>
      </c>
      <c r="F663" s="1045"/>
      <c r="G663" s="1048"/>
      <c r="H663" s="1100"/>
      <c r="I663" s="717">
        <f t="shared" si="23"/>
        <v>33000</v>
      </c>
      <c r="J663" s="717">
        <f t="shared" si="24"/>
        <v>22000</v>
      </c>
      <c r="K663" s="717">
        <v>55000</v>
      </c>
    </row>
    <row r="664" spans="1:13" s="510" customFormat="1" ht="74.25" hidden="1" customHeight="1">
      <c r="A664" s="1020" t="s">
        <v>1835</v>
      </c>
      <c r="B664" s="1022"/>
      <c r="C664" s="714" t="s">
        <v>1824</v>
      </c>
      <c r="D664" s="714">
        <v>4</v>
      </c>
      <c r="E664" s="725" t="s">
        <v>1823</v>
      </c>
      <c r="F664" s="1045"/>
      <c r="G664" s="1048"/>
      <c r="H664" s="1100"/>
      <c r="I664" s="717">
        <f t="shared" si="23"/>
        <v>15262.8</v>
      </c>
      <c r="J664" s="717">
        <f t="shared" si="24"/>
        <v>10175.200000000001</v>
      </c>
      <c r="K664" s="717">
        <v>25438</v>
      </c>
    </row>
    <row r="665" spans="1:13" s="510" customFormat="1" ht="74.25" hidden="1" customHeight="1">
      <c r="A665" s="1020" t="s">
        <v>1836</v>
      </c>
      <c r="B665" s="1022"/>
      <c r="C665" s="714" t="s">
        <v>1824</v>
      </c>
      <c r="D665" s="714">
        <v>4</v>
      </c>
      <c r="E665" s="725" t="s">
        <v>1823</v>
      </c>
      <c r="F665" s="1045"/>
      <c r="G665" s="1048"/>
      <c r="H665" s="1100"/>
      <c r="I665" s="717">
        <f t="shared" si="23"/>
        <v>12000</v>
      </c>
      <c r="J665" s="717">
        <f t="shared" si="24"/>
        <v>8000</v>
      </c>
      <c r="K665" s="717">
        <v>20000</v>
      </c>
      <c r="M665" s="510">
        <v>9568</v>
      </c>
    </row>
    <row r="666" spans="1:13" s="510" customFormat="1" ht="74.25" hidden="1" customHeight="1">
      <c r="A666" s="1020" t="s">
        <v>1606</v>
      </c>
      <c r="B666" s="1022"/>
      <c r="C666" s="714" t="s">
        <v>1824</v>
      </c>
      <c r="D666" s="714">
        <v>6</v>
      </c>
      <c r="E666" s="725" t="s">
        <v>1830</v>
      </c>
      <c r="F666" s="1046"/>
      <c r="G666" s="1049"/>
      <c r="H666" s="1100"/>
      <c r="I666" s="717">
        <f t="shared" si="23"/>
        <v>6000</v>
      </c>
      <c r="J666" s="717">
        <f t="shared" si="24"/>
        <v>4000</v>
      </c>
      <c r="K666" s="717">
        <v>10000</v>
      </c>
    </row>
    <row r="667" spans="1:13" s="510" customFormat="1" ht="74.25" hidden="1" customHeight="1">
      <c r="A667" s="1020" t="s">
        <v>1837</v>
      </c>
      <c r="B667" s="1022"/>
      <c r="C667" s="714" t="s">
        <v>1824</v>
      </c>
      <c r="D667" s="714">
        <v>4</v>
      </c>
      <c r="E667" s="725" t="s">
        <v>1830</v>
      </c>
      <c r="F667" s="1104" t="s">
        <v>2242</v>
      </c>
      <c r="G667" s="1047">
        <v>8100</v>
      </c>
      <c r="H667" s="1140" t="s">
        <v>2274</v>
      </c>
      <c r="I667" s="717">
        <f t="shared" si="23"/>
        <v>4800</v>
      </c>
      <c r="J667" s="717">
        <f t="shared" si="24"/>
        <v>3200</v>
      </c>
      <c r="K667" s="717">
        <v>8000</v>
      </c>
    </row>
    <row r="668" spans="1:13" s="510" customFormat="1" ht="74.25" hidden="1" customHeight="1">
      <c r="A668" s="1020" t="s">
        <v>1838</v>
      </c>
      <c r="B668" s="1022"/>
      <c r="C668" s="714" t="s">
        <v>1825</v>
      </c>
      <c r="D668" s="714">
        <v>18</v>
      </c>
      <c r="E668" s="725" t="s">
        <v>1830</v>
      </c>
      <c r="F668" s="1104"/>
      <c r="G668" s="1048"/>
      <c r="H668" s="1140"/>
      <c r="I668" s="717">
        <f t="shared" si="23"/>
        <v>6000</v>
      </c>
      <c r="J668" s="717">
        <f t="shared" si="24"/>
        <v>4000</v>
      </c>
      <c r="K668" s="717">
        <v>10000</v>
      </c>
    </row>
    <row r="669" spans="1:13" s="510" customFormat="1" ht="74.25" hidden="1" customHeight="1">
      <c r="A669" s="1020" t="s">
        <v>1839</v>
      </c>
      <c r="B669" s="1022"/>
      <c r="C669" s="714" t="s">
        <v>1826</v>
      </c>
      <c r="D669" s="714">
        <v>10</v>
      </c>
      <c r="E669" s="725" t="s">
        <v>1830</v>
      </c>
      <c r="F669" s="1104"/>
      <c r="G669" s="1048"/>
      <c r="H669" s="1140"/>
      <c r="I669" s="717">
        <f t="shared" si="23"/>
        <v>12000</v>
      </c>
      <c r="J669" s="717">
        <f t="shared" si="24"/>
        <v>8000</v>
      </c>
      <c r="K669" s="717">
        <v>20000</v>
      </c>
    </row>
    <row r="670" spans="1:13" s="510" customFormat="1" ht="74.25" hidden="1" customHeight="1">
      <c r="A670" s="1020" t="s">
        <v>1840</v>
      </c>
      <c r="B670" s="1022"/>
      <c r="C670" s="714" t="s">
        <v>1828</v>
      </c>
      <c r="D670" s="714">
        <v>12</v>
      </c>
      <c r="E670" s="725" t="s">
        <v>1812</v>
      </c>
      <c r="F670" s="1104"/>
      <c r="G670" s="1048"/>
      <c r="H670" s="1140"/>
      <c r="I670" s="717">
        <f t="shared" si="23"/>
        <v>27000</v>
      </c>
      <c r="J670" s="717">
        <f t="shared" si="24"/>
        <v>18000</v>
      </c>
      <c r="K670" s="717">
        <v>45000</v>
      </c>
    </row>
    <row r="671" spans="1:13" s="510" customFormat="1" ht="74.25" hidden="1" customHeight="1">
      <c r="A671" s="1059" t="s">
        <v>1841</v>
      </c>
      <c r="B671" s="1061"/>
      <c r="C671" s="789" t="s">
        <v>1824</v>
      </c>
      <c r="D671" s="789">
        <v>4</v>
      </c>
      <c r="E671" s="790" t="s">
        <v>1829</v>
      </c>
      <c r="F671" s="778" t="s">
        <v>2241</v>
      </c>
      <c r="G671" s="1049"/>
      <c r="H671" s="1140"/>
      <c r="I671" s="717">
        <v>31515</v>
      </c>
      <c r="J671" s="717"/>
      <c r="K671" s="717">
        <f>I671+J671</f>
        <v>31515</v>
      </c>
    </row>
    <row r="672" spans="1:13" s="510" customFormat="1" ht="21.75" hidden="1" customHeight="1">
      <c r="A672" s="802"/>
      <c r="B672" s="803"/>
      <c r="C672" s="789"/>
      <c r="D672" s="789"/>
      <c r="E672" s="790"/>
      <c r="F672" s="798"/>
      <c r="G672" s="758"/>
      <c r="H672" s="756"/>
      <c r="I672" s="717"/>
      <c r="J672" s="717"/>
      <c r="K672" s="717"/>
    </row>
    <row r="673" spans="1:11" s="510" customFormat="1" ht="74.25" hidden="1" customHeight="1">
      <c r="A673" s="1008" t="s">
        <v>2475</v>
      </c>
      <c r="B673" s="1010"/>
      <c r="C673" s="818"/>
      <c r="D673" s="818"/>
      <c r="E673" s="821"/>
      <c r="F673" s="819"/>
      <c r="G673" s="810"/>
      <c r="H673" s="810"/>
      <c r="I673" s="817">
        <v>7421</v>
      </c>
      <c r="J673" s="817"/>
      <c r="K673" s="817">
        <f>I673+J673</f>
        <v>7421</v>
      </c>
    </row>
    <row r="674" spans="1:11" s="510" customFormat="1" ht="74.25" hidden="1" customHeight="1">
      <c r="A674" s="1096" t="s">
        <v>2474</v>
      </c>
      <c r="B674" s="1097"/>
      <c r="C674" s="814"/>
      <c r="D674" s="814"/>
      <c r="E674" s="822"/>
      <c r="F674" s="819"/>
      <c r="G674" s="819"/>
      <c r="H674" s="819"/>
      <c r="I674" s="817">
        <v>1255</v>
      </c>
      <c r="J674" s="817"/>
      <c r="K674" s="817">
        <f>I674+J674</f>
        <v>1255</v>
      </c>
    </row>
    <row r="675" spans="1:11" ht="48" hidden="1" customHeight="1">
      <c r="A675" s="1041" t="s">
        <v>2455</v>
      </c>
      <c r="B675" s="1041"/>
      <c r="C675" s="1042"/>
      <c r="D675" s="1042"/>
      <c r="E675" s="1042"/>
      <c r="F675" s="1042"/>
      <c r="G675" s="1042"/>
      <c r="H675" s="1042"/>
      <c r="I675" s="1042"/>
      <c r="J675" s="27"/>
      <c r="K675" s="27"/>
    </row>
    <row r="676" spans="1:11" ht="42" hidden="1" customHeight="1">
      <c r="A676" s="1041" t="s">
        <v>2456</v>
      </c>
      <c r="B676" s="1041"/>
      <c r="C676" s="1042"/>
      <c r="D676" s="1042"/>
      <c r="E676" s="1042"/>
      <c r="F676" s="1042"/>
      <c r="G676" s="1042"/>
      <c r="H676" s="1042"/>
      <c r="I676" s="1042"/>
      <c r="J676" s="27"/>
      <c r="K676" s="27"/>
    </row>
    <row r="677" spans="1:11" s="510" customFormat="1" ht="74.25" hidden="1" customHeight="1">
      <c r="A677" s="753"/>
      <c r="B677" s="753"/>
      <c r="C677" s="754"/>
      <c r="D677" s="754"/>
      <c r="E677" s="759"/>
      <c r="F677" s="755"/>
      <c r="G677" s="758"/>
      <c r="H677" s="756"/>
      <c r="I677" s="757"/>
      <c r="J677" s="757"/>
      <c r="K677" s="757"/>
    </row>
    <row r="678" spans="1:11" s="510" customFormat="1" ht="74.25" hidden="1" customHeight="1">
      <c r="A678" s="753"/>
      <c r="B678" s="753"/>
      <c r="C678" s="754"/>
      <c r="D678" s="754"/>
      <c r="E678" s="759"/>
      <c r="F678" s="755"/>
      <c r="G678" s="758"/>
      <c r="H678" s="756"/>
      <c r="I678" s="757"/>
      <c r="J678" s="757"/>
      <c r="K678" s="757"/>
    </row>
    <row r="679" spans="1:11" s="510" customFormat="1" ht="74.25" hidden="1" customHeight="1">
      <c r="A679" s="753"/>
      <c r="B679" s="753"/>
      <c r="C679" s="754"/>
      <c r="D679" s="754"/>
      <c r="E679" s="759"/>
      <c r="F679" s="755"/>
      <c r="G679" s="758"/>
      <c r="H679" s="756"/>
      <c r="I679" s="757"/>
      <c r="J679" s="757"/>
      <c r="K679" s="757"/>
    </row>
    <row r="680" spans="1:11" s="510" customFormat="1" ht="74.25" hidden="1" customHeight="1">
      <c r="A680" s="753"/>
      <c r="B680" s="753"/>
      <c r="C680" s="754"/>
      <c r="D680" s="754"/>
      <c r="E680" s="759"/>
      <c r="F680" s="755"/>
      <c r="G680" s="758"/>
      <c r="H680" s="756"/>
      <c r="I680" s="757"/>
      <c r="J680" s="757"/>
      <c r="K680" s="757"/>
    </row>
    <row r="681" spans="1:11" s="510" customFormat="1" ht="74.25" hidden="1" customHeight="1">
      <c r="A681" s="753"/>
      <c r="B681" s="753"/>
      <c r="C681" s="754"/>
      <c r="D681" s="754"/>
      <c r="E681" s="759"/>
      <c r="F681" s="755"/>
      <c r="G681" s="758"/>
      <c r="H681" s="756"/>
      <c r="I681" s="757"/>
      <c r="J681" s="757"/>
      <c r="K681" s="757"/>
    </row>
    <row r="682" spans="1:11" s="510" customFormat="1" ht="74.25" hidden="1" customHeight="1">
      <c r="A682" s="753"/>
      <c r="B682" s="753"/>
      <c r="C682" s="754"/>
      <c r="D682" s="754"/>
      <c r="E682" s="759"/>
      <c r="F682" s="755"/>
      <c r="G682" s="758"/>
      <c r="H682" s="756"/>
      <c r="I682" s="757"/>
      <c r="J682" s="757"/>
      <c r="K682" s="757"/>
    </row>
    <row r="683" spans="1:11" s="510" customFormat="1" ht="74.25" hidden="1" customHeight="1">
      <c r="A683" s="753"/>
      <c r="B683" s="753"/>
      <c r="C683" s="754"/>
      <c r="D683" s="754"/>
      <c r="E683" s="759"/>
      <c r="F683" s="755"/>
      <c r="G683" s="758"/>
      <c r="H683" s="756"/>
      <c r="I683" s="757"/>
      <c r="J683" s="757"/>
      <c r="K683" s="757"/>
    </row>
    <row r="684" spans="1:11" ht="34.5" hidden="1" customHeight="1">
      <c r="A684" s="1128" t="s">
        <v>51</v>
      </c>
      <c r="B684" s="1128"/>
      <c r="C684" s="1128"/>
      <c r="D684" s="1128"/>
      <c r="E684" s="1128"/>
      <c r="F684" s="1128"/>
      <c r="G684" s="1128"/>
      <c r="H684" s="1128"/>
      <c r="I684" s="1128"/>
      <c r="J684" s="1128"/>
      <c r="K684" s="1128"/>
    </row>
    <row r="685" spans="1:11" ht="30.75" hidden="1" customHeight="1">
      <c r="A685" s="1128" t="s">
        <v>52</v>
      </c>
      <c r="B685" s="1128"/>
      <c r="C685" s="1128"/>
      <c r="D685" s="1128"/>
      <c r="E685" s="1128"/>
      <c r="F685" s="1128"/>
      <c r="G685" s="1128"/>
      <c r="H685" s="1128"/>
      <c r="I685" s="1128"/>
      <c r="J685" s="1128"/>
      <c r="K685" s="1128"/>
    </row>
    <row r="686" spans="1:11" ht="33" hidden="1" customHeight="1">
      <c r="A686" s="1132" t="s">
        <v>50</v>
      </c>
      <c r="B686" s="1132"/>
      <c r="C686" s="1132"/>
      <c r="D686" s="1132"/>
      <c r="E686" s="1132"/>
      <c r="F686" s="1132"/>
      <c r="G686" s="1132"/>
      <c r="H686" s="1132"/>
      <c r="I686" s="1132"/>
      <c r="J686" s="1132"/>
      <c r="K686" s="1132"/>
    </row>
    <row r="687" spans="1:11" ht="33" hidden="1" customHeight="1">
      <c r="A687" s="154"/>
      <c r="B687" s="154"/>
      <c r="C687" s="154"/>
      <c r="D687" s="154"/>
      <c r="E687" s="154"/>
      <c r="F687" s="154"/>
      <c r="G687" s="707"/>
      <c r="H687" s="707"/>
      <c r="I687" s="707"/>
      <c r="J687" s="707"/>
      <c r="K687" s="707"/>
    </row>
    <row r="688" spans="1:11" ht="35.25" hidden="1">
      <c r="A688" s="1128" t="s">
        <v>1336</v>
      </c>
      <c r="B688" s="1128"/>
      <c r="C688" s="1128"/>
      <c r="D688" s="1128"/>
      <c r="E688" s="1128"/>
      <c r="F688" s="1128"/>
      <c r="G688" s="1128"/>
      <c r="H688" s="1128"/>
      <c r="I688" s="1128"/>
      <c r="J688" s="1128"/>
      <c r="K688" s="1128"/>
    </row>
    <row r="689" spans="1:11" s="620" customFormat="1" ht="33" hidden="1">
      <c r="A689" s="65"/>
      <c r="B689" s="65"/>
      <c r="C689" s="65"/>
      <c r="D689" s="65"/>
      <c r="E689" s="65"/>
      <c r="F689" s="65"/>
      <c r="G689" s="68"/>
      <c r="H689" s="68"/>
      <c r="I689" s="68"/>
      <c r="J689" s="68"/>
      <c r="K689" s="68"/>
    </row>
    <row r="690" spans="1:11" ht="20.100000000000001" hidden="1" customHeight="1">
      <c r="A690" s="65"/>
      <c r="B690" s="65"/>
      <c r="C690" s="65"/>
      <c r="D690" s="65"/>
      <c r="E690" s="65"/>
      <c r="F690" s="65"/>
      <c r="G690" s="68"/>
      <c r="H690" s="68"/>
      <c r="I690" s="68"/>
      <c r="J690" s="68"/>
      <c r="K690" s="68"/>
    </row>
    <row r="691" spans="1:11" ht="20.100000000000001" hidden="1" customHeight="1">
      <c r="A691" s="979"/>
      <c r="B691" s="979"/>
      <c r="C691" s="979"/>
      <c r="D691" s="979"/>
      <c r="E691" s="979"/>
      <c r="F691" s="979"/>
      <c r="G691" s="979"/>
      <c r="H691" s="979"/>
      <c r="I691" s="979"/>
      <c r="J691" s="979"/>
      <c r="K691" s="979"/>
    </row>
    <row r="692" spans="1:11" ht="45.75" hidden="1" customHeight="1">
      <c r="A692" s="1030" t="s">
        <v>1381</v>
      </c>
      <c r="B692" s="1030"/>
      <c r="C692" s="1030"/>
      <c r="D692" s="1030"/>
      <c r="E692" s="1030"/>
      <c r="F692" s="1030"/>
      <c r="G692" s="1030"/>
      <c r="H692" s="1030"/>
      <c r="I692" s="1030"/>
      <c r="J692" s="1030"/>
      <c r="K692" s="1030"/>
    </row>
    <row r="693" spans="1:11" ht="66" hidden="1" customHeight="1">
      <c r="A693" s="1031" t="s">
        <v>37</v>
      </c>
      <c r="B693" s="1033"/>
      <c r="C693" s="1037" t="s">
        <v>178</v>
      </c>
      <c r="D693" s="1037" t="s">
        <v>179</v>
      </c>
      <c r="E693" s="1037" t="s">
        <v>1521</v>
      </c>
      <c r="F693" s="1037" t="s">
        <v>14</v>
      </c>
      <c r="G693" s="1037" t="s">
        <v>1515</v>
      </c>
      <c r="H693" s="1037" t="s">
        <v>16</v>
      </c>
      <c r="I693" s="1039" t="s">
        <v>1490</v>
      </c>
      <c r="J693" s="1039" t="s">
        <v>2203</v>
      </c>
      <c r="K693" s="1037" t="s">
        <v>200</v>
      </c>
    </row>
    <row r="694" spans="1:11" s="500" customFormat="1" ht="30" hidden="1">
      <c r="A694" s="1034"/>
      <c r="B694" s="1036"/>
      <c r="C694" s="1038"/>
      <c r="D694" s="1038"/>
      <c r="E694" s="1038"/>
      <c r="F694" s="1038"/>
      <c r="G694" s="1038"/>
      <c r="H694" s="1038"/>
      <c r="I694" s="1039"/>
      <c r="J694" s="1039"/>
      <c r="K694" s="1038"/>
    </row>
    <row r="695" spans="1:11" s="500" customFormat="1" ht="74.25" hidden="1" customHeight="1">
      <c r="A695" s="1102" t="s">
        <v>1780</v>
      </c>
      <c r="B695" s="1103"/>
      <c r="C695" s="729"/>
      <c r="D695" s="729"/>
      <c r="E695" s="726"/>
      <c r="F695" s="727"/>
      <c r="G695" s="728"/>
      <c r="H695" s="728"/>
      <c r="I695" s="642">
        <f>I696+I703+I705</f>
        <v>69870.600000000006</v>
      </c>
      <c r="J695" s="642">
        <f>J696+J703+J705</f>
        <v>46580.4</v>
      </c>
      <c r="K695" s="642">
        <f>I695+J695</f>
        <v>116451</v>
      </c>
    </row>
    <row r="696" spans="1:11" ht="75" hidden="1" customHeight="1">
      <c r="A696" s="1011" t="s">
        <v>1541</v>
      </c>
      <c r="B696" s="1013"/>
      <c r="C696" s="709"/>
      <c r="D696" s="709"/>
      <c r="E696" s="709"/>
      <c r="F696" s="708"/>
      <c r="G696" s="709"/>
      <c r="H696" s="710"/>
      <c r="I696" s="545">
        <f>SUM(I697:I702)</f>
        <v>59370.600000000006</v>
      </c>
      <c r="J696" s="545">
        <f>SUM(J697:J702)</f>
        <v>39580.400000000001</v>
      </c>
      <c r="K696" s="545">
        <f>I696+J696</f>
        <v>98951</v>
      </c>
    </row>
    <row r="697" spans="1:11" s="510" customFormat="1" ht="74.25" hidden="1" customHeight="1">
      <c r="A697" s="1020" t="s">
        <v>2245</v>
      </c>
      <c r="B697" s="1022"/>
      <c r="C697" s="714" t="s">
        <v>1785</v>
      </c>
      <c r="D697" s="714">
        <v>8</v>
      </c>
      <c r="E697" s="725" t="s">
        <v>1786</v>
      </c>
      <c r="F697" s="781" t="s">
        <v>2229</v>
      </c>
      <c r="G697" s="1047">
        <v>8100</v>
      </c>
      <c r="H697" s="1099" t="s">
        <v>2273</v>
      </c>
      <c r="I697" s="717">
        <f t="shared" ref="I697:I702" si="25">K697/100*60</f>
        <v>9000</v>
      </c>
      <c r="J697" s="717">
        <f t="shared" ref="J697:J702" si="26">K697/100*40</f>
        <v>6000</v>
      </c>
      <c r="K697" s="717">
        <v>15000</v>
      </c>
    </row>
    <row r="698" spans="1:11" s="510" customFormat="1" ht="75" hidden="1" customHeight="1">
      <c r="A698" s="1020" t="s">
        <v>1781</v>
      </c>
      <c r="B698" s="1022"/>
      <c r="C698" s="714" t="s">
        <v>1787</v>
      </c>
      <c r="D698" s="714">
        <v>3</v>
      </c>
      <c r="E698" s="725" t="s">
        <v>1788</v>
      </c>
      <c r="F698" s="776" t="s">
        <v>2230</v>
      </c>
      <c r="G698" s="1048"/>
      <c r="H698" s="1100"/>
      <c r="I698" s="717">
        <f t="shared" si="25"/>
        <v>34027.800000000003</v>
      </c>
      <c r="J698" s="717">
        <f t="shared" si="26"/>
        <v>22685.200000000001</v>
      </c>
      <c r="K698" s="717">
        <v>56713</v>
      </c>
    </row>
    <row r="699" spans="1:11" s="510" customFormat="1" ht="75" hidden="1" customHeight="1">
      <c r="A699" s="1020" t="s">
        <v>1782</v>
      </c>
      <c r="B699" s="1022"/>
      <c r="C699" s="714" t="s">
        <v>1789</v>
      </c>
      <c r="D699" s="744">
        <v>4</v>
      </c>
      <c r="E699" s="725" t="s">
        <v>1790</v>
      </c>
      <c r="F699" s="1044" t="s">
        <v>2231</v>
      </c>
      <c r="G699" s="1048"/>
      <c r="H699" s="1100"/>
      <c r="I699" s="717">
        <f t="shared" si="25"/>
        <v>4200</v>
      </c>
      <c r="J699" s="717">
        <f t="shared" si="26"/>
        <v>2800</v>
      </c>
      <c r="K699" s="717">
        <v>7000</v>
      </c>
    </row>
    <row r="700" spans="1:11" s="510" customFormat="1" ht="75" hidden="1" customHeight="1">
      <c r="A700" s="1020" t="s">
        <v>1783</v>
      </c>
      <c r="B700" s="1022"/>
      <c r="C700" s="714" t="s">
        <v>1791</v>
      </c>
      <c r="D700" s="714">
        <v>12</v>
      </c>
      <c r="E700" s="725" t="s">
        <v>1792</v>
      </c>
      <c r="F700" s="1045"/>
      <c r="G700" s="1048"/>
      <c r="H700" s="1100"/>
      <c r="I700" s="717">
        <f t="shared" si="25"/>
        <v>2542.8000000000002</v>
      </c>
      <c r="J700" s="717">
        <f t="shared" si="26"/>
        <v>1695.2</v>
      </c>
      <c r="K700" s="717">
        <v>4238</v>
      </c>
    </row>
    <row r="701" spans="1:11" s="510" customFormat="1" ht="75" hidden="1" customHeight="1">
      <c r="A701" s="1020" t="s">
        <v>1784</v>
      </c>
      <c r="B701" s="1022"/>
      <c r="C701" s="714" t="s">
        <v>1791</v>
      </c>
      <c r="D701" s="714">
        <v>10</v>
      </c>
      <c r="E701" s="725" t="s">
        <v>1793</v>
      </c>
      <c r="F701" s="1045"/>
      <c r="G701" s="1048"/>
      <c r="H701" s="1100"/>
      <c r="I701" s="717">
        <f t="shared" si="25"/>
        <v>2400</v>
      </c>
      <c r="J701" s="717">
        <f t="shared" si="26"/>
        <v>1600</v>
      </c>
      <c r="K701" s="717">
        <v>4000</v>
      </c>
    </row>
    <row r="702" spans="1:11" s="510" customFormat="1" ht="75" hidden="1" customHeight="1">
      <c r="A702" s="1020" t="s">
        <v>1496</v>
      </c>
      <c r="B702" s="1022"/>
      <c r="C702" s="714" t="s">
        <v>1794</v>
      </c>
      <c r="D702" s="714">
        <v>20</v>
      </c>
      <c r="E702" s="725" t="s">
        <v>1795</v>
      </c>
      <c r="F702" s="1046"/>
      <c r="G702" s="1048"/>
      <c r="H702" s="1100"/>
      <c r="I702" s="717">
        <f t="shared" si="25"/>
        <v>7200</v>
      </c>
      <c r="J702" s="717">
        <f t="shared" si="26"/>
        <v>4800</v>
      </c>
      <c r="K702" s="717">
        <v>12000</v>
      </c>
    </row>
    <row r="703" spans="1:11" ht="74.25" hidden="1" customHeight="1">
      <c r="A703" s="1011" t="s">
        <v>278</v>
      </c>
      <c r="B703" s="1013"/>
      <c r="C703" s="504"/>
      <c r="D703" s="709"/>
      <c r="E703" s="709"/>
      <c r="F703" s="708"/>
      <c r="G703" s="709"/>
      <c r="H703" s="710"/>
      <c r="I703" s="545">
        <f>SUM(I704)</f>
        <v>3000</v>
      </c>
      <c r="J703" s="545">
        <f>SUM(J704)</f>
        <v>2000</v>
      </c>
      <c r="K703" s="545">
        <f>I703+J703</f>
        <v>5000</v>
      </c>
    </row>
    <row r="704" spans="1:11" s="510" customFormat="1" ht="74.25" hidden="1" customHeight="1">
      <c r="A704" s="1020" t="s">
        <v>1796</v>
      </c>
      <c r="B704" s="1022"/>
      <c r="C704" s="714" t="s">
        <v>18</v>
      </c>
      <c r="D704" s="714">
        <v>10</v>
      </c>
      <c r="E704" s="725" t="s">
        <v>1797</v>
      </c>
      <c r="F704" s="777" t="s">
        <v>2234</v>
      </c>
      <c r="G704" s="711">
        <v>8100</v>
      </c>
      <c r="H704" s="794" t="s">
        <v>2445</v>
      </c>
      <c r="I704" s="717">
        <f>K704/100*60</f>
        <v>3000</v>
      </c>
      <c r="J704" s="717">
        <f>K704/100*40</f>
        <v>2000</v>
      </c>
      <c r="K704" s="717">
        <v>5000</v>
      </c>
    </row>
    <row r="705" spans="1:11" ht="73.5" hidden="1" customHeight="1">
      <c r="A705" s="1011" t="s">
        <v>312</v>
      </c>
      <c r="B705" s="1013"/>
      <c r="C705" s="709"/>
      <c r="D705" s="709"/>
      <c r="E705" s="709"/>
      <c r="F705" s="708"/>
      <c r="G705" s="709"/>
      <c r="H705" s="710"/>
      <c r="I705" s="545">
        <f>SUM(I706:I707)</f>
        <v>7500</v>
      </c>
      <c r="J705" s="545">
        <f>SUM(J706:J707)</f>
        <v>5000</v>
      </c>
      <c r="K705" s="545">
        <f>I705+J705</f>
        <v>12500</v>
      </c>
    </row>
    <row r="706" spans="1:11" s="510" customFormat="1" ht="74.25" hidden="1" customHeight="1">
      <c r="A706" s="1020" t="s">
        <v>1798</v>
      </c>
      <c r="B706" s="1022"/>
      <c r="C706" s="714" t="s">
        <v>138</v>
      </c>
      <c r="D706" s="714">
        <v>10</v>
      </c>
      <c r="E706" s="725" t="s">
        <v>1800</v>
      </c>
      <c r="F706" s="1044" t="s">
        <v>2224</v>
      </c>
      <c r="G706" s="1047">
        <v>8100</v>
      </c>
      <c r="H706" s="1099" t="s">
        <v>2273</v>
      </c>
      <c r="I706" s="717">
        <f>K706/100*60</f>
        <v>3000</v>
      </c>
      <c r="J706" s="717">
        <f>K706/100*40</f>
        <v>2000</v>
      </c>
      <c r="K706" s="717">
        <v>5000</v>
      </c>
    </row>
    <row r="707" spans="1:11" s="510" customFormat="1" ht="74.25" hidden="1" customHeight="1">
      <c r="A707" s="1020" t="s">
        <v>1799</v>
      </c>
      <c r="B707" s="1022"/>
      <c r="C707" s="714" t="s">
        <v>1801</v>
      </c>
      <c r="D707" s="714">
        <v>1</v>
      </c>
      <c r="E707" s="725" t="s">
        <v>1802</v>
      </c>
      <c r="F707" s="1046"/>
      <c r="G707" s="1048"/>
      <c r="H707" s="1100"/>
      <c r="I707" s="717">
        <f>K707/100*60</f>
        <v>4500</v>
      </c>
      <c r="J707" s="717">
        <f>K707/100*40</f>
        <v>3000</v>
      </c>
      <c r="K707" s="717">
        <v>7500</v>
      </c>
    </row>
    <row r="708" spans="1:11" ht="96.75" hidden="1" customHeight="1">
      <c r="A708" s="1141"/>
      <c r="B708" s="1141"/>
      <c r="C708" s="1141"/>
      <c r="D708" s="1141"/>
      <c r="E708" s="1141"/>
      <c r="F708" s="1141"/>
      <c r="G708" s="1141"/>
      <c r="H708" s="1141"/>
      <c r="I708" s="1141"/>
      <c r="J708" s="1141"/>
      <c r="K708" s="1141"/>
    </row>
    <row r="709" spans="1:11" ht="96.75" hidden="1" customHeight="1">
      <c r="A709" s="753"/>
      <c r="B709" s="753"/>
      <c r="C709" s="753"/>
      <c r="D709" s="753"/>
      <c r="E709" s="753"/>
      <c r="F709" s="753"/>
      <c r="G709" s="753"/>
      <c r="H709" s="753"/>
      <c r="I709" s="753"/>
      <c r="J709" s="753"/>
      <c r="K709" s="753"/>
    </row>
    <row r="710" spans="1:11" ht="96.75" hidden="1" customHeight="1">
      <c r="A710" s="753"/>
      <c r="B710" s="753"/>
      <c r="C710" s="753"/>
      <c r="D710" s="753"/>
      <c r="E710" s="753"/>
      <c r="F710" s="753"/>
      <c r="G710" s="753"/>
      <c r="H710" s="753"/>
      <c r="I710" s="753"/>
      <c r="J710" s="753"/>
      <c r="K710" s="753"/>
    </row>
    <row r="711" spans="1:11" ht="96.75" hidden="1" customHeight="1">
      <c r="A711" s="753"/>
      <c r="B711" s="753"/>
      <c r="C711" s="753"/>
      <c r="D711" s="753"/>
      <c r="E711" s="753"/>
      <c r="F711" s="753"/>
      <c r="G711" s="753"/>
      <c r="H711" s="753"/>
      <c r="I711" s="753"/>
      <c r="J711" s="753"/>
      <c r="K711" s="753"/>
    </row>
    <row r="712" spans="1:11" ht="96.75" hidden="1" customHeight="1">
      <c r="A712" s="753"/>
      <c r="B712" s="753"/>
      <c r="C712" s="753"/>
      <c r="D712" s="753"/>
      <c r="E712" s="753"/>
      <c r="F712" s="753"/>
      <c r="G712" s="753"/>
      <c r="H712" s="753"/>
      <c r="I712" s="753"/>
      <c r="J712" s="753"/>
      <c r="K712" s="753"/>
    </row>
    <row r="713" spans="1:11" ht="96.75" hidden="1" customHeight="1">
      <c r="A713" s="753"/>
      <c r="B713" s="753"/>
      <c r="C713" s="753"/>
      <c r="D713" s="753"/>
      <c r="E713" s="753"/>
      <c r="F713" s="753"/>
      <c r="G713" s="753"/>
      <c r="H713" s="753"/>
      <c r="I713" s="753"/>
      <c r="J713" s="753"/>
      <c r="K713" s="753"/>
    </row>
    <row r="714" spans="1:11" ht="96.75" hidden="1" customHeight="1">
      <c r="A714" s="753"/>
      <c r="B714" s="753"/>
      <c r="C714" s="753"/>
      <c r="D714" s="753"/>
      <c r="E714" s="753"/>
      <c r="F714" s="753"/>
      <c r="G714" s="753"/>
      <c r="H714" s="753"/>
      <c r="I714" s="753"/>
      <c r="J714" s="753"/>
      <c r="K714" s="753"/>
    </row>
    <row r="715" spans="1:11" ht="96.75" hidden="1" customHeight="1">
      <c r="A715" s="753"/>
      <c r="B715" s="753"/>
      <c r="C715" s="753"/>
      <c r="D715" s="753"/>
      <c r="E715" s="753"/>
      <c r="F715" s="753"/>
      <c r="G715" s="753"/>
      <c r="H715" s="753"/>
      <c r="I715" s="753"/>
      <c r="J715" s="753"/>
      <c r="K715" s="753"/>
    </row>
    <row r="716" spans="1:11" ht="96.75" hidden="1" customHeight="1">
      <c r="A716" s="753"/>
      <c r="B716" s="753"/>
      <c r="C716" s="753"/>
      <c r="D716" s="753"/>
      <c r="E716" s="753"/>
      <c r="F716" s="753"/>
      <c r="G716" s="753"/>
      <c r="H716" s="753"/>
      <c r="I716" s="753"/>
      <c r="J716" s="753"/>
      <c r="K716" s="753"/>
    </row>
    <row r="717" spans="1:11" ht="96.75" hidden="1" customHeight="1">
      <c r="A717" s="753"/>
      <c r="B717" s="753"/>
      <c r="C717" s="753"/>
      <c r="D717" s="753"/>
      <c r="E717" s="753"/>
      <c r="F717" s="753"/>
      <c r="G717" s="753"/>
      <c r="H717" s="753"/>
      <c r="I717" s="753"/>
      <c r="J717" s="753"/>
      <c r="K717" s="753"/>
    </row>
    <row r="718" spans="1:11" ht="96.75" hidden="1" customHeight="1">
      <c r="A718" s="753"/>
      <c r="B718" s="753"/>
      <c r="C718" s="753"/>
      <c r="D718" s="753"/>
      <c r="E718" s="753"/>
      <c r="F718" s="753"/>
      <c r="G718" s="753"/>
      <c r="H718" s="753"/>
      <c r="I718" s="753"/>
      <c r="J718" s="753"/>
      <c r="K718" s="753"/>
    </row>
    <row r="719" spans="1:11" ht="96.75" hidden="1" customHeight="1">
      <c r="A719" s="753"/>
      <c r="B719" s="753"/>
      <c r="C719" s="753"/>
      <c r="D719" s="753"/>
      <c r="E719" s="753"/>
      <c r="F719" s="753"/>
      <c r="G719" s="753"/>
      <c r="H719" s="753"/>
      <c r="I719" s="753"/>
      <c r="J719" s="753"/>
      <c r="K719" s="753"/>
    </row>
    <row r="720" spans="1:11" ht="96.75" hidden="1" customHeight="1">
      <c r="A720" s="753"/>
      <c r="B720" s="753"/>
      <c r="C720" s="753"/>
      <c r="D720" s="753"/>
      <c r="E720" s="753"/>
      <c r="F720" s="753"/>
      <c r="G720" s="753"/>
      <c r="H720" s="753"/>
      <c r="I720" s="753"/>
      <c r="J720" s="753"/>
      <c r="K720" s="753"/>
    </row>
    <row r="721" spans="1:11" ht="96.75" hidden="1" customHeight="1">
      <c r="A721" s="753"/>
      <c r="B721" s="753"/>
      <c r="C721" s="753"/>
      <c r="D721" s="753"/>
      <c r="E721" s="753"/>
      <c r="F721" s="753"/>
      <c r="G721" s="753"/>
      <c r="H721" s="753"/>
      <c r="I721" s="753"/>
      <c r="J721" s="753"/>
      <c r="K721" s="753"/>
    </row>
    <row r="722" spans="1:11" ht="34.5" hidden="1" customHeight="1">
      <c r="A722" s="1128" t="s">
        <v>51</v>
      </c>
      <c r="B722" s="1128"/>
      <c r="C722" s="1128"/>
      <c r="D722" s="1128"/>
      <c r="E722" s="1128"/>
      <c r="F722" s="1128"/>
      <c r="G722" s="1128"/>
      <c r="H722" s="1128"/>
      <c r="I722" s="1128"/>
      <c r="J722" s="1128"/>
      <c r="K722" s="1128"/>
    </row>
    <row r="723" spans="1:11" ht="30.75" hidden="1" customHeight="1">
      <c r="A723" s="1128" t="s">
        <v>52</v>
      </c>
      <c r="B723" s="1128"/>
      <c r="C723" s="1128"/>
      <c r="D723" s="1128"/>
      <c r="E723" s="1128"/>
      <c r="F723" s="1128"/>
      <c r="G723" s="1128"/>
      <c r="H723" s="1128"/>
      <c r="I723" s="1128"/>
      <c r="J723" s="1128"/>
      <c r="K723" s="1128"/>
    </row>
    <row r="724" spans="1:11" ht="33" hidden="1" customHeight="1">
      <c r="A724" s="1132" t="s">
        <v>50</v>
      </c>
      <c r="B724" s="1132"/>
      <c r="C724" s="1132"/>
      <c r="D724" s="1132"/>
      <c r="E724" s="1132"/>
      <c r="F724" s="1132"/>
      <c r="G724" s="1132"/>
      <c r="H724" s="1132"/>
      <c r="I724" s="1132"/>
      <c r="J724" s="1132"/>
      <c r="K724" s="1132"/>
    </row>
    <row r="725" spans="1:11" ht="33" hidden="1" customHeight="1">
      <c r="A725" s="154"/>
      <c r="B725" s="154"/>
      <c r="C725" s="154"/>
      <c r="D725" s="154"/>
      <c r="E725" s="154"/>
      <c r="F725" s="154"/>
      <c r="G725" s="707"/>
      <c r="H725" s="707"/>
      <c r="I725" s="707"/>
      <c r="J725" s="707"/>
      <c r="K725" s="707"/>
    </row>
    <row r="726" spans="1:11" ht="35.25" hidden="1">
      <c r="A726" s="1128" t="s">
        <v>1336</v>
      </c>
      <c r="B726" s="1128"/>
      <c r="C726" s="1128"/>
      <c r="D726" s="1128"/>
      <c r="E726" s="1128"/>
      <c r="F726" s="1128"/>
      <c r="G726" s="1128"/>
      <c r="H726" s="1128"/>
      <c r="I726" s="1128"/>
      <c r="J726" s="1128"/>
      <c r="K726" s="1128"/>
    </row>
    <row r="727" spans="1:11" s="620" customFormat="1" ht="33" hidden="1">
      <c r="A727" s="65"/>
      <c r="B727" s="65"/>
      <c r="C727" s="65"/>
      <c r="D727" s="65"/>
      <c r="E727" s="65"/>
      <c r="F727" s="65"/>
      <c r="G727" s="68"/>
      <c r="H727" s="68"/>
      <c r="I727" s="68"/>
      <c r="J727" s="68"/>
      <c r="K727" s="68"/>
    </row>
    <row r="728" spans="1:11" ht="20.100000000000001" hidden="1" customHeight="1">
      <c r="A728" s="65"/>
      <c r="B728" s="65"/>
      <c r="C728" s="65"/>
      <c r="D728" s="65"/>
      <c r="E728" s="65"/>
      <c r="F728" s="65"/>
      <c r="G728" s="68"/>
      <c r="H728" s="68"/>
      <c r="I728" s="68"/>
      <c r="J728" s="68"/>
      <c r="K728" s="68"/>
    </row>
    <row r="729" spans="1:11" ht="20.100000000000001" hidden="1" customHeight="1">
      <c r="A729" s="979"/>
      <c r="B729" s="979"/>
      <c r="C729" s="979"/>
      <c r="D729" s="979"/>
      <c r="E729" s="979"/>
      <c r="F729" s="979"/>
      <c r="G729" s="979"/>
      <c r="H729" s="979"/>
      <c r="I729" s="979"/>
      <c r="J729" s="979"/>
      <c r="K729" s="979"/>
    </row>
    <row r="730" spans="1:11" ht="45.75" hidden="1" customHeight="1">
      <c r="A730" s="1030" t="s">
        <v>1382</v>
      </c>
      <c r="B730" s="1030"/>
      <c r="C730" s="1030"/>
      <c r="D730" s="1030"/>
      <c r="E730" s="1030"/>
      <c r="F730" s="1030"/>
      <c r="G730" s="1030"/>
      <c r="H730" s="1030"/>
      <c r="I730" s="1030"/>
      <c r="J730" s="1030"/>
      <c r="K730" s="1030"/>
    </row>
    <row r="731" spans="1:11" ht="66" hidden="1" customHeight="1">
      <c r="A731" s="1031" t="s">
        <v>37</v>
      </c>
      <c r="B731" s="1033"/>
      <c r="C731" s="1037" t="s">
        <v>178</v>
      </c>
      <c r="D731" s="1037" t="s">
        <v>179</v>
      </c>
      <c r="E731" s="1037" t="s">
        <v>1521</v>
      </c>
      <c r="F731" s="1037" t="s">
        <v>14</v>
      </c>
      <c r="G731" s="1037" t="s">
        <v>1515</v>
      </c>
      <c r="H731" s="1037" t="s">
        <v>16</v>
      </c>
      <c r="I731" s="1039" t="s">
        <v>1490</v>
      </c>
      <c r="J731" s="1039" t="s">
        <v>2203</v>
      </c>
      <c r="K731" s="1037" t="s">
        <v>200</v>
      </c>
    </row>
    <row r="732" spans="1:11" s="500" customFormat="1" ht="30" hidden="1">
      <c r="A732" s="1034"/>
      <c r="B732" s="1036"/>
      <c r="C732" s="1038"/>
      <c r="D732" s="1038"/>
      <c r="E732" s="1038"/>
      <c r="F732" s="1038"/>
      <c r="G732" s="1038"/>
      <c r="H732" s="1038"/>
      <c r="I732" s="1039"/>
      <c r="J732" s="1039"/>
      <c r="K732" s="1038"/>
    </row>
    <row r="733" spans="1:11" s="500" customFormat="1" ht="74.25" hidden="1" customHeight="1">
      <c r="A733" s="1137" t="s">
        <v>1970</v>
      </c>
      <c r="B733" s="1138"/>
      <c r="C733" s="729"/>
      <c r="D733" s="729"/>
      <c r="E733" s="726"/>
      <c r="F733" s="727"/>
      <c r="G733" s="728"/>
      <c r="H733" s="728"/>
      <c r="I733" s="642">
        <f>I734+I741+I739</f>
        <v>108133.20000000001</v>
      </c>
      <c r="J733" s="642">
        <f>J734+J741+J739</f>
        <v>72088.799999999988</v>
      </c>
      <c r="K733" s="642">
        <f>I733+J733</f>
        <v>180222</v>
      </c>
    </row>
    <row r="734" spans="1:11" ht="75" hidden="1" customHeight="1">
      <c r="A734" s="1011" t="s">
        <v>1541</v>
      </c>
      <c r="B734" s="1013"/>
      <c r="C734" s="709"/>
      <c r="D734" s="709"/>
      <c r="E734" s="709"/>
      <c r="F734" s="708"/>
      <c r="G734" s="709"/>
      <c r="H734" s="710"/>
      <c r="I734" s="545">
        <f>SUM(I735:I738)</f>
        <v>33599.4</v>
      </c>
      <c r="J734" s="545">
        <f>SUM(J735:J738)</f>
        <v>22399.599999999999</v>
      </c>
      <c r="K734" s="545">
        <f>I734+J734</f>
        <v>55999</v>
      </c>
    </row>
    <row r="735" spans="1:11" s="510" customFormat="1" ht="75" hidden="1" customHeight="1">
      <c r="A735" s="1020" t="s">
        <v>1972</v>
      </c>
      <c r="B735" s="1022"/>
      <c r="C735" s="714" t="s">
        <v>1976</v>
      </c>
      <c r="D735" s="714">
        <v>17</v>
      </c>
      <c r="E735" s="714" t="s">
        <v>1977</v>
      </c>
      <c r="F735" s="776" t="s">
        <v>2246</v>
      </c>
      <c r="G735" s="1047">
        <v>8100</v>
      </c>
      <c r="H735" s="1099" t="s">
        <v>2273</v>
      </c>
      <c r="I735" s="717">
        <f>K735/100*60</f>
        <v>15300</v>
      </c>
      <c r="J735" s="717">
        <f>K735/100*40</f>
        <v>10200</v>
      </c>
      <c r="K735" s="717">
        <v>25500</v>
      </c>
    </row>
    <row r="736" spans="1:11" s="510" customFormat="1" ht="75" hidden="1" customHeight="1">
      <c r="A736" s="1020" t="s">
        <v>1606</v>
      </c>
      <c r="B736" s="1022"/>
      <c r="C736" s="714" t="s">
        <v>1623</v>
      </c>
      <c r="D736" s="714">
        <v>50</v>
      </c>
      <c r="E736" s="714" t="s">
        <v>1978</v>
      </c>
      <c r="F736" s="776" t="s">
        <v>2247</v>
      </c>
      <c r="G736" s="1048"/>
      <c r="H736" s="1100"/>
      <c r="I736" s="717">
        <f>K736/100*60</f>
        <v>7799.4000000000005</v>
      </c>
      <c r="J736" s="717">
        <f>K736/100*40</f>
        <v>5199.6000000000004</v>
      </c>
      <c r="K736" s="717">
        <v>12999</v>
      </c>
    </row>
    <row r="737" spans="1:11" s="510" customFormat="1" ht="75" hidden="1" customHeight="1">
      <c r="A737" s="1020" t="s">
        <v>1973</v>
      </c>
      <c r="B737" s="1022"/>
      <c r="C737" s="714" t="s">
        <v>1934</v>
      </c>
      <c r="D737" s="714">
        <v>22</v>
      </c>
      <c r="E737" s="714" t="s">
        <v>1979</v>
      </c>
      <c r="F737" s="1104" t="s">
        <v>2248</v>
      </c>
      <c r="G737" s="1048"/>
      <c r="H737" s="1100"/>
      <c r="I737" s="717">
        <f>K737/100*60</f>
        <v>9600</v>
      </c>
      <c r="J737" s="717">
        <f>K737/100*40</f>
        <v>6400</v>
      </c>
      <c r="K737" s="717">
        <v>16000</v>
      </c>
    </row>
    <row r="738" spans="1:11" s="510" customFormat="1" ht="75" hidden="1" customHeight="1">
      <c r="A738" s="1020" t="s">
        <v>1974</v>
      </c>
      <c r="B738" s="1022"/>
      <c r="C738" s="714" t="s">
        <v>1863</v>
      </c>
      <c r="D738" s="714">
        <v>1</v>
      </c>
      <c r="E738" s="714" t="s">
        <v>1979</v>
      </c>
      <c r="F738" s="1104"/>
      <c r="G738" s="1048"/>
      <c r="H738" s="1100"/>
      <c r="I738" s="717">
        <f>K738/100*60</f>
        <v>900</v>
      </c>
      <c r="J738" s="717">
        <f>K738/100*40</f>
        <v>600</v>
      </c>
      <c r="K738" s="717">
        <v>1500</v>
      </c>
    </row>
    <row r="739" spans="1:11" ht="73.5" hidden="1" customHeight="1">
      <c r="A739" s="1011" t="s">
        <v>278</v>
      </c>
      <c r="B739" s="1013"/>
      <c r="C739" s="709"/>
      <c r="D739" s="709"/>
      <c r="E739" s="709"/>
      <c r="F739" s="708"/>
      <c r="G739" s="709"/>
      <c r="H739" s="710"/>
      <c r="I739" s="545">
        <f>SUM(I740:I740)</f>
        <v>3000</v>
      </c>
      <c r="J739" s="545">
        <f>SUM(J740:J740)</f>
        <v>2000</v>
      </c>
      <c r="K739" s="545">
        <f>I739+J739</f>
        <v>5000</v>
      </c>
    </row>
    <row r="740" spans="1:11" s="510" customFormat="1" ht="74.25" hidden="1" customHeight="1">
      <c r="A740" s="1020" t="s">
        <v>1971</v>
      </c>
      <c r="B740" s="1022"/>
      <c r="C740" s="714" t="s">
        <v>1215</v>
      </c>
      <c r="D740" s="714">
        <v>6</v>
      </c>
      <c r="E740" s="714" t="s">
        <v>1980</v>
      </c>
      <c r="F740" s="777" t="s">
        <v>2235</v>
      </c>
      <c r="G740" s="745">
        <v>8100</v>
      </c>
      <c r="H740" s="794" t="s">
        <v>2445</v>
      </c>
      <c r="I740" s="717">
        <f>K740/100*60</f>
        <v>3000</v>
      </c>
      <c r="J740" s="717">
        <f>K740/100*40</f>
        <v>2000</v>
      </c>
      <c r="K740" s="717">
        <v>5000</v>
      </c>
    </row>
    <row r="741" spans="1:11" ht="73.5" hidden="1" customHeight="1">
      <c r="A741" s="1011" t="s">
        <v>307</v>
      </c>
      <c r="B741" s="1013"/>
      <c r="C741" s="709"/>
      <c r="D741" s="709"/>
      <c r="E741" s="709"/>
      <c r="F741" s="708"/>
      <c r="G741" s="709"/>
      <c r="H741" s="710"/>
      <c r="I741" s="545">
        <f>SUM(I742:I742)</f>
        <v>71533.8</v>
      </c>
      <c r="J741" s="545">
        <f>SUM(J742:J742)</f>
        <v>47689.2</v>
      </c>
      <c r="K741" s="545">
        <f>I741+J741</f>
        <v>119223</v>
      </c>
    </row>
    <row r="742" spans="1:11" s="510" customFormat="1" ht="74.25" hidden="1" customHeight="1">
      <c r="A742" s="1020" t="s">
        <v>1975</v>
      </c>
      <c r="B742" s="1022"/>
      <c r="C742" s="714" t="s">
        <v>147</v>
      </c>
      <c r="D742" s="744">
        <v>1138</v>
      </c>
      <c r="E742" s="714" t="s">
        <v>1981</v>
      </c>
      <c r="F742" s="781" t="s">
        <v>1183</v>
      </c>
      <c r="G742" s="745">
        <v>8100</v>
      </c>
      <c r="H742" s="782" t="s">
        <v>2273</v>
      </c>
      <c r="I742" s="717">
        <f>K742/100*60</f>
        <v>71533.8</v>
      </c>
      <c r="J742" s="717">
        <f>K742/100*40</f>
        <v>47689.2</v>
      </c>
      <c r="K742" s="717">
        <v>119223</v>
      </c>
    </row>
    <row r="743" spans="1:11" s="743" customFormat="1" ht="36.75" hidden="1" customHeight="1">
      <c r="A743" s="1135"/>
      <c r="B743" s="1136"/>
      <c r="C743" s="738"/>
      <c r="D743" s="738"/>
      <c r="E743" s="739"/>
      <c r="F743" s="740"/>
      <c r="G743" s="741"/>
      <c r="H743" s="741"/>
      <c r="I743" s="742"/>
      <c r="J743" s="742"/>
      <c r="K743" s="742"/>
    </row>
    <row r="744" spans="1:11" ht="66" hidden="1" customHeight="1">
      <c r="A744" s="1031" t="s">
        <v>37</v>
      </c>
      <c r="B744" s="1033"/>
      <c r="C744" s="1037" t="s">
        <v>178</v>
      </c>
      <c r="D744" s="1037" t="s">
        <v>179</v>
      </c>
      <c r="E744" s="1037" t="s">
        <v>1521</v>
      </c>
      <c r="F744" s="1037" t="s">
        <v>14</v>
      </c>
      <c r="G744" s="1037" t="s">
        <v>1515</v>
      </c>
      <c r="H744" s="1037" t="s">
        <v>16</v>
      </c>
      <c r="I744" s="1039" t="s">
        <v>1490</v>
      </c>
      <c r="J744" s="1039" t="s">
        <v>2203</v>
      </c>
      <c r="K744" s="1037" t="s">
        <v>200</v>
      </c>
    </row>
    <row r="745" spans="1:11" s="500" customFormat="1" ht="30" hidden="1">
      <c r="A745" s="1034"/>
      <c r="B745" s="1036"/>
      <c r="C745" s="1038"/>
      <c r="D745" s="1038"/>
      <c r="E745" s="1038"/>
      <c r="F745" s="1038"/>
      <c r="G745" s="1038"/>
      <c r="H745" s="1038"/>
      <c r="I745" s="1039"/>
      <c r="J745" s="1039"/>
      <c r="K745" s="1038"/>
    </row>
    <row r="746" spans="1:11" s="500" customFormat="1" ht="74.25" hidden="1" customHeight="1">
      <c r="A746" s="1102" t="s">
        <v>1952</v>
      </c>
      <c r="B746" s="1103"/>
      <c r="C746" s="729"/>
      <c r="D746" s="729"/>
      <c r="E746" s="726"/>
      <c r="F746" s="727"/>
      <c r="G746" s="728"/>
      <c r="H746" s="728"/>
      <c r="I746" s="642">
        <f>I747+I755+I753</f>
        <v>66321</v>
      </c>
      <c r="J746" s="642">
        <f>J747+J755+J753</f>
        <v>44214</v>
      </c>
      <c r="K746" s="642">
        <f>I746+J746</f>
        <v>110535</v>
      </c>
    </row>
    <row r="747" spans="1:11" ht="75" hidden="1" customHeight="1">
      <c r="A747" s="1011" t="s">
        <v>1541</v>
      </c>
      <c r="B747" s="1013"/>
      <c r="C747" s="709"/>
      <c r="D747" s="709"/>
      <c r="E747" s="709"/>
      <c r="F747" s="708"/>
      <c r="G747" s="709"/>
      <c r="H747" s="710"/>
      <c r="I747" s="545">
        <f>SUM(I748:I752)</f>
        <v>58341</v>
      </c>
      <c r="J747" s="545">
        <f>SUM(J748:J752)</f>
        <v>38894</v>
      </c>
      <c r="K747" s="545">
        <f>I747+J747</f>
        <v>97235</v>
      </c>
    </row>
    <row r="748" spans="1:11" s="510" customFormat="1" ht="75" hidden="1" customHeight="1">
      <c r="A748" s="1020" t="s">
        <v>1954</v>
      </c>
      <c r="B748" s="1022"/>
      <c r="C748" s="714" t="s">
        <v>1958</v>
      </c>
      <c r="D748" s="714">
        <v>5</v>
      </c>
      <c r="E748" s="714" t="s">
        <v>1959</v>
      </c>
      <c r="F748" s="776" t="s">
        <v>2249</v>
      </c>
      <c r="G748" s="1047">
        <v>8100</v>
      </c>
      <c r="H748" s="1099" t="s">
        <v>2273</v>
      </c>
      <c r="I748" s="717">
        <f>K748/100*60</f>
        <v>17856</v>
      </c>
      <c r="J748" s="717">
        <f>K748/100*40</f>
        <v>11904</v>
      </c>
      <c r="K748" s="717">
        <v>29760</v>
      </c>
    </row>
    <row r="749" spans="1:11" s="510" customFormat="1" ht="75" hidden="1" customHeight="1">
      <c r="A749" s="1020" t="s">
        <v>1955</v>
      </c>
      <c r="B749" s="1022"/>
      <c r="C749" s="714" t="s">
        <v>1958</v>
      </c>
      <c r="D749" s="714">
        <v>4</v>
      </c>
      <c r="E749" s="714" t="s">
        <v>1960</v>
      </c>
      <c r="F749" s="776" t="s">
        <v>2247</v>
      </c>
      <c r="G749" s="1048"/>
      <c r="H749" s="1100"/>
      <c r="I749" s="717">
        <f>K749/100*60</f>
        <v>6000</v>
      </c>
      <c r="J749" s="717">
        <f>K749/100*40</f>
        <v>4000</v>
      </c>
      <c r="K749" s="717">
        <v>10000</v>
      </c>
    </row>
    <row r="750" spans="1:11" s="510" customFormat="1" ht="75" hidden="1" customHeight="1">
      <c r="A750" s="1020" t="s">
        <v>1496</v>
      </c>
      <c r="B750" s="1022"/>
      <c r="C750" s="714" t="s">
        <v>1961</v>
      </c>
      <c r="D750" s="714">
        <v>50</v>
      </c>
      <c r="E750" s="714" t="s">
        <v>1960</v>
      </c>
      <c r="F750" s="1044" t="s">
        <v>2248</v>
      </c>
      <c r="G750" s="1048"/>
      <c r="H750" s="1100"/>
      <c r="I750" s="717">
        <f>K750/100*60</f>
        <v>6000</v>
      </c>
      <c r="J750" s="717">
        <f>K750/100*40</f>
        <v>4000</v>
      </c>
      <c r="K750" s="717">
        <v>10000</v>
      </c>
    </row>
    <row r="751" spans="1:11" s="510" customFormat="1" ht="75" hidden="1" customHeight="1">
      <c r="A751" s="1020" t="s">
        <v>1840</v>
      </c>
      <c r="B751" s="1022"/>
      <c r="C751" s="714" t="s">
        <v>1962</v>
      </c>
      <c r="D751" s="714">
        <v>1</v>
      </c>
      <c r="E751" s="714" t="s">
        <v>1963</v>
      </c>
      <c r="F751" s="1045"/>
      <c r="G751" s="1048"/>
      <c r="H751" s="1100"/>
      <c r="I751" s="717">
        <f>K751/100*60</f>
        <v>4500</v>
      </c>
      <c r="J751" s="717">
        <f>K751/100*40</f>
        <v>3000</v>
      </c>
      <c r="K751" s="717">
        <v>7500</v>
      </c>
    </row>
    <row r="752" spans="1:11" s="510" customFormat="1" ht="74.25" hidden="1" customHeight="1">
      <c r="A752" s="1020" t="s">
        <v>1956</v>
      </c>
      <c r="B752" s="1022"/>
      <c r="C752" s="714" t="s">
        <v>1964</v>
      </c>
      <c r="D752" s="714">
        <v>1</v>
      </c>
      <c r="E752" s="714" t="s">
        <v>1965</v>
      </c>
      <c r="F752" s="1046"/>
      <c r="G752" s="1048"/>
      <c r="H752" s="1100"/>
      <c r="I752" s="717">
        <f>K752/100*60</f>
        <v>23985</v>
      </c>
      <c r="J752" s="717">
        <f>K752/100*40</f>
        <v>15990</v>
      </c>
      <c r="K752" s="717">
        <v>39975</v>
      </c>
    </row>
    <row r="753" spans="1:11" ht="73.5" hidden="1" customHeight="1">
      <c r="A753" s="1011" t="s">
        <v>278</v>
      </c>
      <c r="B753" s="1013"/>
      <c r="C753" s="709"/>
      <c r="D753" s="709"/>
      <c r="E753" s="709"/>
      <c r="F753" s="708"/>
      <c r="G753" s="709"/>
      <c r="H753" s="710"/>
      <c r="I753" s="545">
        <f>SUM(I754:I754)</f>
        <v>5580</v>
      </c>
      <c r="J753" s="545">
        <f>SUM(J754:J754)</f>
        <v>3720</v>
      </c>
      <c r="K753" s="545">
        <f>I753+J753</f>
        <v>9300</v>
      </c>
    </row>
    <row r="754" spans="1:11" s="510" customFormat="1" ht="74.25" hidden="1" customHeight="1">
      <c r="A754" s="1020" t="s">
        <v>1953</v>
      </c>
      <c r="B754" s="1022"/>
      <c r="C754" s="714" t="s">
        <v>1966</v>
      </c>
      <c r="D754" s="714">
        <v>7</v>
      </c>
      <c r="E754" s="714" t="s">
        <v>1967</v>
      </c>
      <c r="F754" s="777" t="s">
        <v>2235</v>
      </c>
      <c r="G754" s="745">
        <v>8100</v>
      </c>
      <c r="H754" s="794" t="s">
        <v>2445</v>
      </c>
      <c r="I754" s="717">
        <f>K754/100*60</f>
        <v>5580</v>
      </c>
      <c r="J754" s="717">
        <f>K754/100*40</f>
        <v>3720</v>
      </c>
      <c r="K754" s="717">
        <v>9300</v>
      </c>
    </row>
    <row r="755" spans="1:11" ht="73.5" hidden="1" customHeight="1">
      <c r="A755" s="1011" t="s">
        <v>312</v>
      </c>
      <c r="B755" s="1013"/>
      <c r="C755" s="709"/>
      <c r="D755" s="709"/>
      <c r="E755" s="709"/>
      <c r="F755" s="708"/>
      <c r="G755" s="709"/>
      <c r="H755" s="710"/>
      <c r="I755" s="545">
        <f>SUM(I756:I756)</f>
        <v>2400</v>
      </c>
      <c r="J755" s="545">
        <f>SUM(J756:J756)</f>
        <v>1600</v>
      </c>
      <c r="K755" s="545">
        <f>I755+J755</f>
        <v>4000</v>
      </c>
    </row>
    <row r="756" spans="1:11" s="510" customFormat="1" ht="74.25" hidden="1" customHeight="1">
      <c r="A756" s="1020" t="s">
        <v>1957</v>
      </c>
      <c r="B756" s="1022"/>
      <c r="C756" s="714" t="s">
        <v>1968</v>
      </c>
      <c r="D756" s="714">
        <v>2</v>
      </c>
      <c r="E756" s="714" t="s">
        <v>1969</v>
      </c>
      <c r="F756" s="776" t="s">
        <v>2225</v>
      </c>
      <c r="G756" s="745">
        <v>8100</v>
      </c>
      <c r="H756" s="782" t="s">
        <v>2273</v>
      </c>
      <c r="I756" s="717">
        <f>K756/100*60</f>
        <v>2400</v>
      </c>
      <c r="J756" s="717">
        <f>K756/100*40</f>
        <v>1600</v>
      </c>
      <c r="K756" s="717">
        <v>4000</v>
      </c>
    </row>
    <row r="757" spans="1:11" s="743" customFormat="1" ht="36.75" hidden="1" customHeight="1">
      <c r="A757" s="1135"/>
      <c r="B757" s="1136"/>
      <c r="C757" s="738"/>
      <c r="D757" s="738"/>
      <c r="E757" s="739"/>
      <c r="F757" s="740"/>
      <c r="G757" s="741"/>
      <c r="H757" s="741"/>
      <c r="I757" s="742"/>
      <c r="J757" s="742"/>
      <c r="K757" s="742"/>
    </row>
    <row r="758" spans="1:11" ht="66" hidden="1" customHeight="1">
      <c r="A758" s="1031" t="s">
        <v>37</v>
      </c>
      <c r="B758" s="1033"/>
      <c r="C758" s="1037" t="s">
        <v>178</v>
      </c>
      <c r="D758" s="1037" t="s">
        <v>179</v>
      </c>
      <c r="E758" s="1037" t="s">
        <v>1521</v>
      </c>
      <c r="F758" s="1037" t="s">
        <v>14</v>
      </c>
      <c r="G758" s="1037" t="s">
        <v>1515</v>
      </c>
      <c r="H758" s="1037" t="s">
        <v>16</v>
      </c>
      <c r="I758" s="1039" t="s">
        <v>1490</v>
      </c>
      <c r="J758" s="1039" t="s">
        <v>2203</v>
      </c>
      <c r="K758" s="1037" t="s">
        <v>200</v>
      </c>
    </row>
    <row r="759" spans="1:11" s="500" customFormat="1" ht="30" hidden="1">
      <c r="A759" s="1034"/>
      <c r="B759" s="1036"/>
      <c r="C759" s="1038"/>
      <c r="D759" s="1038"/>
      <c r="E759" s="1038"/>
      <c r="F759" s="1038"/>
      <c r="G759" s="1038"/>
      <c r="H759" s="1038"/>
      <c r="I759" s="1039"/>
      <c r="J759" s="1039"/>
      <c r="K759" s="1038"/>
    </row>
    <row r="760" spans="1:11" s="500" customFormat="1" ht="74.25" hidden="1" customHeight="1">
      <c r="A760" s="1102" t="s">
        <v>1947</v>
      </c>
      <c r="B760" s="1103"/>
      <c r="C760" s="729"/>
      <c r="D760" s="729"/>
      <c r="E760" s="726"/>
      <c r="F760" s="727"/>
      <c r="G760" s="728"/>
      <c r="H760" s="728"/>
      <c r="I760" s="642">
        <f>I761</f>
        <v>41142.6</v>
      </c>
      <c r="J760" s="642">
        <f>J761</f>
        <v>27428.399999999998</v>
      </c>
      <c r="K760" s="642">
        <f>I760+J760</f>
        <v>68571</v>
      </c>
    </row>
    <row r="761" spans="1:11" ht="75" hidden="1" customHeight="1">
      <c r="A761" s="1011" t="s">
        <v>1541</v>
      </c>
      <c r="B761" s="1013"/>
      <c r="C761" s="709"/>
      <c r="D761" s="709"/>
      <c r="E761" s="709"/>
      <c r="F761" s="708"/>
      <c r="G761" s="709"/>
      <c r="H761" s="710"/>
      <c r="I761" s="545">
        <f>SUM(I762:I763)</f>
        <v>41142.6</v>
      </c>
      <c r="J761" s="545">
        <f>SUM(J762:J763)</f>
        <v>27428.399999999998</v>
      </c>
      <c r="K761" s="545">
        <f>I761+J761</f>
        <v>68571</v>
      </c>
    </row>
    <row r="762" spans="1:11" s="510" customFormat="1" ht="75" hidden="1" customHeight="1">
      <c r="A762" s="1020" t="s">
        <v>1945</v>
      </c>
      <c r="B762" s="1022"/>
      <c r="C762" s="714" t="s">
        <v>1941</v>
      </c>
      <c r="D762" s="714">
        <v>200</v>
      </c>
      <c r="E762" s="714" t="s">
        <v>1942</v>
      </c>
      <c r="F762" s="777" t="s">
        <v>2247</v>
      </c>
      <c r="G762" s="1139">
        <v>8100</v>
      </c>
      <c r="H762" s="1140" t="s">
        <v>2273</v>
      </c>
      <c r="I762" s="717">
        <f>K762/100*60</f>
        <v>39955.199999999997</v>
      </c>
      <c r="J762" s="717">
        <f>K762/100*40</f>
        <v>26636.799999999999</v>
      </c>
      <c r="K762" s="717">
        <v>66592</v>
      </c>
    </row>
    <row r="763" spans="1:11" s="510" customFormat="1" ht="74.25" hidden="1" customHeight="1">
      <c r="A763" s="1020" t="s">
        <v>1946</v>
      </c>
      <c r="B763" s="1022"/>
      <c r="C763" s="714" t="s">
        <v>1943</v>
      </c>
      <c r="D763" s="714">
        <v>11</v>
      </c>
      <c r="E763" s="714" t="s">
        <v>1944</v>
      </c>
      <c r="F763" s="777" t="s">
        <v>2248</v>
      </c>
      <c r="G763" s="1139"/>
      <c r="H763" s="1140"/>
      <c r="I763" s="717">
        <f>K763/100*60</f>
        <v>1187.3999999999999</v>
      </c>
      <c r="J763" s="717">
        <f>K763/100*40</f>
        <v>791.59999999999991</v>
      </c>
      <c r="K763" s="717">
        <v>1979</v>
      </c>
    </row>
    <row r="764" spans="1:11" s="510" customFormat="1" ht="74.25" hidden="1" customHeight="1">
      <c r="A764" s="753"/>
      <c r="B764" s="753"/>
      <c r="C764" s="754"/>
      <c r="D764" s="754"/>
      <c r="E764" s="754"/>
      <c r="F764" s="755"/>
      <c r="G764" s="758"/>
      <c r="H764" s="756"/>
      <c r="I764" s="757"/>
      <c r="J764" s="757"/>
      <c r="K764" s="757"/>
    </row>
    <row r="765" spans="1:11" s="510" customFormat="1" ht="74.25" hidden="1" customHeight="1">
      <c r="A765" s="753"/>
      <c r="B765" s="753"/>
      <c r="C765" s="754"/>
      <c r="D765" s="754"/>
      <c r="E765" s="754"/>
      <c r="F765" s="755"/>
      <c r="G765" s="758"/>
      <c r="H765" s="756"/>
      <c r="I765" s="757"/>
      <c r="J765" s="757"/>
      <c r="K765" s="757"/>
    </row>
    <row r="766" spans="1:11" ht="34.5" hidden="1" customHeight="1">
      <c r="A766" s="1128" t="s">
        <v>51</v>
      </c>
      <c r="B766" s="1128"/>
      <c r="C766" s="1128"/>
      <c r="D766" s="1128"/>
      <c r="E766" s="1128"/>
      <c r="F766" s="1128"/>
      <c r="G766" s="1128"/>
      <c r="H766" s="1128"/>
      <c r="I766" s="1128"/>
      <c r="J766" s="1128"/>
      <c r="K766" s="1128"/>
    </row>
    <row r="767" spans="1:11" ht="30.75" hidden="1" customHeight="1">
      <c r="A767" s="1128" t="s">
        <v>52</v>
      </c>
      <c r="B767" s="1128"/>
      <c r="C767" s="1128"/>
      <c r="D767" s="1128"/>
      <c r="E767" s="1128"/>
      <c r="F767" s="1128"/>
      <c r="G767" s="1128"/>
      <c r="H767" s="1128"/>
      <c r="I767" s="1128"/>
      <c r="J767" s="1128"/>
      <c r="K767" s="1128"/>
    </row>
    <row r="768" spans="1:11" ht="33" hidden="1" customHeight="1">
      <c r="A768" s="1132" t="s">
        <v>50</v>
      </c>
      <c r="B768" s="1132"/>
      <c r="C768" s="1132"/>
      <c r="D768" s="1132"/>
      <c r="E768" s="1132"/>
      <c r="F768" s="1132"/>
      <c r="G768" s="1132"/>
      <c r="H768" s="1132"/>
      <c r="I768" s="1132"/>
      <c r="J768" s="1132"/>
      <c r="K768" s="1132"/>
    </row>
    <row r="769" spans="1:11" ht="33" hidden="1" customHeight="1">
      <c r="A769" s="154"/>
      <c r="B769" s="154"/>
      <c r="C769" s="154"/>
      <c r="D769" s="154"/>
      <c r="E769" s="154"/>
      <c r="F769" s="154"/>
      <c r="G769" s="707"/>
      <c r="H769" s="707"/>
      <c r="I769" s="707"/>
      <c r="J769" s="707"/>
      <c r="K769" s="707"/>
    </row>
    <row r="770" spans="1:11" ht="35.25" hidden="1">
      <c r="A770" s="1128" t="s">
        <v>1336</v>
      </c>
      <c r="B770" s="1128"/>
      <c r="C770" s="1128"/>
      <c r="D770" s="1128"/>
      <c r="E770" s="1128"/>
      <c r="F770" s="1128"/>
      <c r="G770" s="1128"/>
      <c r="H770" s="1128"/>
      <c r="I770" s="1128"/>
      <c r="J770" s="1128"/>
      <c r="K770" s="1128"/>
    </row>
    <row r="771" spans="1:11" s="620" customFormat="1" ht="33" hidden="1">
      <c r="A771" s="65"/>
      <c r="B771" s="65"/>
      <c r="C771" s="65"/>
      <c r="D771" s="65"/>
      <c r="E771" s="65"/>
      <c r="F771" s="65"/>
      <c r="G771" s="68"/>
      <c r="H771" s="68"/>
      <c r="I771" s="68"/>
      <c r="J771" s="68"/>
      <c r="K771" s="68"/>
    </row>
    <row r="772" spans="1:11" ht="20.100000000000001" hidden="1" customHeight="1">
      <c r="A772" s="65"/>
      <c r="B772" s="65"/>
      <c r="C772" s="65"/>
      <c r="D772" s="65"/>
      <c r="E772" s="65"/>
      <c r="F772" s="65"/>
      <c r="G772" s="68"/>
      <c r="H772" s="68"/>
      <c r="I772" s="68"/>
      <c r="J772" s="68"/>
      <c r="K772" s="68"/>
    </row>
    <row r="773" spans="1:11" ht="20.100000000000001" hidden="1" customHeight="1">
      <c r="A773" s="979"/>
      <c r="B773" s="979"/>
      <c r="C773" s="979"/>
      <c r="D773" s="979"/>
      <c r="E773" s="979"/>
      <c r="F773" s="979"/>
      <c r="G773" s="979"/>
      <c r="H773" s="979"/>
      <c r="I773" s="979"/>
      <c r="J773" s="979"/>
      <c r="K773" s="979"/>
    </row>
    <row r="774" spans="1:11" ht="45.75" hidden="1" customHeight="1">
      <c r="A774" s="1030" t="s">
        <v>1382</v>
      </c>
      <c r="B774" s="1030"/>
      <c r="C774" s="1030"/>
      <c r="D774" s="1030"/>
      <c r="E774" s="1030"/>
      <c r="F774" s="1030"/>
      <c r="G774" s="1030"/>
      <c r="H774" s="1030"/>
      <c r="I774" s="1030"/>
      <c r="J774" s="1030"/>
      <c r="K774" s="1030"/>
    </row>
    <row r="775" spans="1:11" ht="66" hidden="1" customHeight="1">
      <c r="A775" s="1031" t="s">
        <v>37</v>
      </c>
      <c r="B775" s="1033"/>
      <c r="C775" s="1037" t="s">
        <v>178</v>
      </c>
      <c r="D775" s="1037" t="s">
        <v>179</v>
      </c>
      <c r="E775" s="1037" t="s">
        <v>1521</v>
      </c>
      <c r="F775" s="1037" t="s">
        <v>14</v>
      </c>
      <c r="G775" s="1037" t="s">
        <v>1515</v>
      </c>
      <c r="H775" s="1037" t="s">
        <v>16</v>
      </c>
      <c r="I775" s="1039" t="s">
        <v>1490</v>
      </c>
      <c r="J775" s="1039" t="s">
        <v>2203</v>
      </c>
      <c r="K775" s="1037" t="s">
        <v>200</v>
      </c>
    </row>
    <row r="776" spans="1:11" s="500" customFormat="1" ht="30" hidden="1">
      <c r="A776" s="1034"/>
      <c r="B776" s="1036"/>
      <c r="C776" s="1038"/>
      <c r="D776" s="1038"/>
      <c r="E776" s="1038"/>
      <c r="F776" s="1038"/>
      <c r="G776" s="1038"/>
      <c r="H776" s="1038"/>
      <c r="I776" s="1039"/>
      <c r="J776" s="1039"/>
      <c r="K776" s="1038"/>
    </row>
    <row r="777" spans="1:11" s="500" customFormat="1" ht="74.25" hidden="1" customHeight="1">
      <c r="A777" s="1102" t="s">
        <v>1930</v>
      </c>
      <c r="B777" s="1103"/>
      <c r="C777" s="729"/>
      <c r="D777" s="729"/>
      <c r="E777" s="726"/>
      <c r="F777" s="727"/>
      <c r="G777" s="728"/>
      <c r="H777" s="728"/>
      <c r="I777" s="642">
        <f>I778+I783</f>
        <v>68421.600000000006</v>
      </c>
      <c r="J777" s="642">
        <f>J778+J783</f>
        <v>45614.400000000001</v>
      </c>
      <c r="K777" s="642">
        <f>I777+J777</f>
        <v>114036</v>
      </c>
    </row>
    <row r="778" spans="1:11" ht="75" hidden="1" customHeight="1">
      <c r="A778" s="1011" t="s">
        <v>1541</v>
      </c>
      <c r="B778" s="1013"/>
      <c r="C778" s="709"/>
      <c r="D778" s="709"/>
      <c r="E778" s="709"/>
      <c r="F778" s="708"/>
      <c r="G778" s="709"/>
      <c r="H778" s="710"/>
      <c r="I778" s="545">
        <f>SUM(I779:I782)</f>
        <v>51321.599999999999</v>
      </c>
      <c r="J778" s="545">
        <f>SUM(J779:J782)</f>
        <v>34214.400000000001</v>
      </c>
      <c r="K778" s="545">
        <f>I778+J778</f>
        <v>85536</v>
      </c>
    </row>
    <row r="779" spans="1:11" s="510" customFormat="1" ht="75" hidden="1" customHeight="1">
      <c r="A779" s="1020" t="s">
        <v>1807</v>
      </c>
      <c r="B779" s="1022"/>
      <c r="C779" s="714" t="s">
        <v>1931</v>
      </c>
      <c r="D779" s="714">
        <v>1</v>
      </c>
      <c r="E779" s="714" t="s">
        <v>1932</v>
      </c>
      <c r="F779" s="776" t="s">
        <v>2246</v>
      </c>
      <c r="G779" s="1047">
        <v>8100</v>
      </c>
      <c r="H779" s="1099" t="s">
        <v>2273</v>
      </c>
      <c r="I779" s="717">
        <f>K779/100*60</f>
        <v>5721.6</v>
      </c>
      <c r="J779" s="717">
        <f>K779/100*40</f>
        <v>3814.4</v>
      </c>
      <c r="K779" s="717">
        <v>9536</v>
      </c>
    </row>
    <row r="780" spans="1:11" s="510" customFormat="1" ht="74.25" hidden="1" customHeight="1">
      <c r="A780" s="1020" t="s">
        <v>1852</v>
      </c>
      <c r="B780" s="1022"/>
      <c r="C780" s="714" t="s">
        <v>1801</v>
      </c>
      <c r="D780" s="714">
        <v>12</v>
      </c>
      <c r="E780" s="714" t="s">
        <v>1935</v>
      </c>
      <c r="F780" s="776" t="s">
        <v>2247</v>
      </c>
      <c r="G780" s="1048"/>
      <c r="H780" s="1100"/>
      <c r="I780" s="717">
        <f>K780/100*60</f>
        <v>15000</v>
      </c>
      <c r="J780" s="717">
        <f>K780/100*40</f>
        <v>10000</v>
      </c>
      <c r="K780" s="717">
        <v>25000</v>
      </c>
    </row>
    <row r="781" spans="1:11" s="510" customFormat="1" ht="75" hidden="1" customHeight="1">
      <c r="A781" s="1020" t="s">
        <v>1840</v>
      </c>
      <c r="B781" s="1022"/>
      <c r="C781" s="714" t="s">
        <v>1933</v>
      </c>
      <c r="D781" s="714">
        <v>1</v>
      </c>
      <c r="E781" s="714" t="s">
        <v>1680</v>
      </c>
      <c r="F781" s="1104" t="s">
        <v>2248</v>
      </c>
      <c r="G781" s="1048"/>
      <c r="H781" s="1100"/>
      <c r="I781" s="717">
        <f>K781/100*60</f>
        <v>10200</v>
      </c>
      <c r="J781" s="717">
        <f>K781/100*40</f>
        <v>6800</v>
      </c>
      <c r="K781" s="717">
        <v>17000</v>
      </c>
    </row>
    <row r="782" spans="1:11" s="510" customFormat="1" ht="75" hidden="1" customHeight="1">
      <c r="A782" s="1020" t="s">
        <v>1929</v>
      </c>
      <c r="B782" s="1022"/>
      <c r="C782" s="714" t="s">
        <v>1934</v>
      </c>
      <c r="D782" s="714">
        <v>5</v>
      </c>
      <c r="E782" s="714" t="s">
        <v>1936</v>
      </c>
      <c r="F782" s="1104"/>
      <c r="G782" s="1048"/>
      <c r="H782" s="1100"/>
      <c r="I782" s="717">
        <f>K782/100*60</f>
        <v>20400</v>
      </c>
      <c r="J782" s="717">
        <f>K782/100*40</f>
        <v>13600</v>
      </c>
      <c r="K782" s="717">
        <v>34000</v>
      </c>
    </row>
    <row r="783" spans="1:11" ht="73.5" hidden="1" customHeight="1">
      <c r="A783" s="1011" t="s">
        <v>312</v>
      </c>
      <c r="B783" s="1013"/>
      <c r="C783" s="709"/>
      <c r="D783" s="709"/>
      <c r="E783" s="709"/>
      <c r="F783" s="708"/>
      <c r="G783" s="709"/>
      <c r="H783" s="710"/>
      <c r="I783" s="545">
        <f>SUM(I784:I785)</f>
        <v>17100</v>
      </c>
      <c r="J783" s="545">
        <f>SUM(J784:J785)</f>
        <v>11400</v>
      </c>
      <c r="K783" s="545">
        <f>I783+J783</f>
        <v>28500</v>
      </c>
    </row>
    <row r="784" spans="1:11" s="510" customFormat="1" ht="74.25" hidden="1" customHeight="1">
      <c r="A784" s="1020" t="s">
        <v>1937</v>
      </c>
      <c r="B784" s="1022"/>
      <c r="C784" s="714" t="s">
        <v>1801</v>
      </c>
      <c r="D784" s="714">
        <v>13</v>
      </c>
      <c r="E784" s="714" t="s">
        <v>1939</v>
      </c>
      <c r="F784" s="1044" t="s">
        <v>2225</v>
      </c>
      <c r="G784" s="1047">
        <v>8100</v>
      </c>
      <c r="H784" s="1099" t="s">
        <v>2273</v>
      </c>
      <c r="I784" s="717">
        <f>K784/100*60</f>
        <v>6300</v>
      </c>
      <c r="J784" s="717">
        <f>K784/100*40</f>
        <v>4200</v>
      </c>
      <c r="K784" s="717">
        <v>10500</v>
      </c>
    </row>
    <row r="785" spans="1:11" s="510" customFormat="1" ht="74.25" hidden="1" customHeight="1">
      <c r="A785" s="1020" t="s">
        <v>1938</v>
      </c>
      <c r="B785" s="1022"/>
      <c r="C785" s="714" t="s">
        <v>1934</v>
      </c>
      <c r="D785" s="714">
        <v>8</v>
      </c>
      <c r="E785" s="714" t="s">
        <v>1940</v>
      </c>
      <c r="F785" s="1046"/>
      <c r="G785" s="1049"/>
      <c r="H785" s="1101"/>
      <c r="I785" s="717">
        <f>K785/100*60</f>
        <v>10800</v>
      </c>
      <c r="J785" s="717">
        <f>K785/100*40</f>
        <v>7200</v>
      </c>
      <c r="K785" s="717">
        <v>18000</v>
      </c>
    </row>
    <row r="786" spans="1:11" s="743" customFormat="1" ht="36.75" hidden="1" customHeight="1">
      <c r="A786" s="1135"/>
      <c r="B786" s="1136"/>
      <c r="C786" s="738"/>
      <c r="D786" s="738"/>
      <c r="E786" s="739"/>
      <c r="F786" s="740"/>
      <c r="G786" s="741"/>
      <c r="H786" s="741"/>
      <c r="I786" s="742"/>
      <c r="J786" s="742"/>
      <c r="K786" s="742"/>
    </row>
    <row r="787" spans="1:11" ht="66" hidden="1" customHeight="1">
      <c r="A787" s="1031" t="s">
        <v>37</v>
      </c>
      <c r="B787" s="1033"/>
      <c r="C787" s="1037" t="s">
        <v>178</v>
      </c>
      <c r="D787" s="1037" t="s">
        <v>179</v>
      </c>
      <c r="E787" s="1037" t="s">
        <v>1521</v>
      </c>
      <c r="F787" s="1037" t="s">
        <v>14</v>
      </c>
      <c r="G787" s="1037" t="s">
        <v>1515</v>
      </c>
      <c r="H787" s="1037" t="s">
        <v>16</v>
      </c>
      <c r="I787" s="1039" t="s">
        <v>1490</v>
      </c>
      <c r="J787" s="1039" t="s">
        <v>2203</v>
      </c>
      <c r="K787" s="1037" t="s">
        <v>200</v>
      </c>
    </row>
    <row r="788" spans="1:11" s="500" customFormat="1" ht="30" hidden="1">
      <c r="A788" s="1034"/>
      <c r="B788" s="1036"/>
      <c r="C788" s="1038"/>
      <c r="D788" s="1038"/>
      <c r="E788" s="1038"/>
      <c r="F788" s="1038"/>
      <c r="G788" s="1038"/>
      <c r="H788" s="1038"/>
      <c r="I788" s="1039"/>
      <c r="J788" s="1039"/>
      <c r="K788" s="1038"/>
    </row>
    <row r="789" spans="1:11" s="500" customFormat="1" ht="74.25" hidden="1" customHeight="1">
      <c r="A789" s="1102" t="s">
        <v>1948</v>
      </c>
      <c r="B789" s="1103"/>
      <c r="C789" s="729"/>
      <c r="D789" s="729"/>
      <c r="E789" s="726"/>
      <c r="F789" s="727"/>
      <c r="G789" s="728"/>
      <c r="H789" s="728"/>
      <c r="I789" s="642">
        <f>I790+I794</f>
        <v>61584.000000000007</v>
      </c>
      <c r="J789" s="642">
        <f>J790+J794</f>
        <v>41056</v>
      </c>
      <c r="K789" s="642">
        <f>I789+J789</f>
        <v>102640</v>
      </c>
    </row>
    <row r="790" spans="1:11" ht="75" hidden="1" customHeight="1">
      <c r="A790" s="1011" t="s">
        <v>1541</v>
      </c>
      <c r="B790" s="1013"/>
      <c r="C790" s="709"/>
      <c r="D790" s="709"/>
      <c r="E790" s="709"/>
      <c r="F790" s="708"/>
      <c r="G790" s="709"/>
      <c r="H790" s="710"/>
      <c r="I790" s="545">
        <f>SUM(I791:I793)</f>
        <v>55449.600000000006</v>
      </c>
      <c r="J790" s="545">
        <f>SUM(J791:J793)</f>
        <v>36966.400000000001</v>
      </c>
      <c r="K790" s="545">
        <f>I790+J790</f>
        <v>92416</v>
      </c>
    </row>
    <row r="791" spans="1:11" s="510" customFormat="1" ht="75" hidden="1" customHeight="1">
      <c r="A791" s="1020" t="s">
        <v>1949</v>
      </c>
      <c r="B791" s="1022"/>
      <c r="C791" s="714" t="s">
        <v>1544</v>
      </c>
      <c r="D791" s="714"/>
      <c r="E791" s="714" t="s">
        <v>1544</v>
      </c>
      <c r="F791" s="776" t="s">
        <v>2246</v>
      </c>
      <c r="G791" s="1047">
        <v>8100</v>
      </c>
      <c r="H791" s="1099" t="s">
        <v>2273</v>
      </c>
      <c r="I791" s="717">
        <f>K791/100*60</f>
        <v>4800</v>
      </c>
      <c r="J791" s="717">
        <f>K791/100*40</f>
        <v>3200</v>
      </c>
      <c r="K791" s="717">
        <v>8000</v>
      </c>
    </row>
    <row r="792" spans="1:11" s="510" customFormat="1" ht="74.25" hidden="1" customHeight="1">
      <c r="A792" s="1020" t="s">
        <v>1546</v>
      </c>
      <c r="B792" s="1022"/>
      <c r="C792" s="714" t="s">
        <v>1544</v>
      </c>
      <c r="D792" s="714"/>
      <c r="E792" s="714" t="s">
        <v>1544</v>
      </c>
      <c r="F792" s="776" t="s">
        <v>2247</v>
      </c>
      <c r="G792" s="1048"/>
      <c r="H792" s="1100"/>
      <c r="I792" s="717">
        <f>K792/100*60</f>
        <v>24000</v>
      </c>
      <c r="J792" s="717">
        <f>K792/100*40</f>
        <v>16000</v>
      </c>
      <c r="K792" s="717">
        <v>40000</v>
      </c>
    </row>
    <row r="793" spans="1:11" s="510" customFormat="1" ht="74.25" hidden="1" customHeight="1">
      <c r="A793" s="1020" t="s">
        <v>1950</v>
      </c>
      <c r="B793" s="1022"/>
      <c r="C793" s="714" t="s">
        <v>1544</v>
      </c>
      <c r="D793" s="714"/>
      <c r="E793" s="714" t="s">
        <v>1544</v>
      </c>
      <c r="F793" s="776" t="s">
        <v>2248</v>
      </c>
      <c r="G793" s="1048"/>
      <c r="H793" s="1100"/>
      <c r="I793" s="717">
        <f>K793/100*60</f>
        <v>26649.600000000002</v>
      </c>
      <c r="J793" s="717">
        <f>K793/100*40</f>
        <v>17766.400000000001</v>
      </c>
      <c r="K793" s="717">
        <v>44416</v>
      </c>
    </row>
    <row r="794" spans="1:11" ht="73.5" hidden="1" customHeight="1">
      <c r="A794" s="1011" t="s">
        <v>312</v>
      </c>
      <c r="B794" s="1013"/>
      <c r="C794" s="709"/>
      <c r="D794" s="709"/>
      <c r="E794" s="709"/>
      <c r="F794" s="708"/>
      <c r="G794" s="709"/>
      <c r="H794" s="710"/>
      <c r="I794" s="545">
        <f>SUM(I795:I795)</f>
        <v>6134.4</v>
      </c>
      <c r="J794" s="545">
        <f>SUM(J795:J795)</f>
        <v>4089.6</v>
      </c>
      <c r="K794" s="545">
        <f>I794+J794</f>
        <v>10224</v>
      </c>
    </row>
    <row r="795" spans="1:11" s="510" customFormat="1" ht="74.25" hidden="1" customHeight="1">
      <c r="A795" s="1020" t="s">
        <v>1951</v>
      </c>
      <c r="B795" s="1022"/>
      <c r="C795" s="714" t="s">
        <v>1544</v>
      </c>
      <c r="D795" s="714"/>
      <c r="E795" s="714" t="s">
        <v>1544</v>
      </c>
      <c r="F795" s="776" t="s">
        <v>2225</v>
      </c>
      <c r="G795" s="745">
        <v>8100</v>
      </c>
      <c r="H795" s="782" t="s">
        <v>2273</v>
      </c>
      <c r="I795" s="717">
        <f>K795/100*60</f>
        <v>6134.4</v>
      </c>
      <c r="J795" s="717">
        <f>K795/100*40</f>
        <v>4089.6</v>
      </c>
      <c r="K795" s="717">
        <v>10224</v>
      </c>
    </row>
    <row r="796" spans="1:11" s="743" customFormat="1" ht="36.75" hidden="1" customHeight="1">
      <c r="A796" s="1135"/>
      <c r="B796" s="1136"/>
      <c r="C796" s="738"/>
      <c r="D796" s="738"/>
      <c r="E796" s="739"/>
      <c r="F796" s="740"/>
      <c r="G796" s="741"/>
      <c r="H796" s="741"/>
      <c r="I796" s="742"/>
      <c r="J796" s="742"/>
      <c r="K796" s="742"/>
    </row>
    <row r="797" spans="1:11" ht="66" hidden="1" customHeight="1">
      <c r="A797" s="1031" t="s">
        <v>37</v>
      </c>
      <c r="B797" s="1033"/>
      <c r="C797" s="1037" t="s">
        <v>178</v>
      </c>
      <c r="D797" s="1037" t="s">
        <v>179</v>
      </c>
      <c r="E797" s="1037" t="s">
        <v>1521</v>
      </c>
      <c r="F797" s="1037" t="s">
        <v>14</v>
      </c>
      <c r="G797" s="1037" t="s">
        <v>1515</v>
      </c>
      <c r="H797" s="1037" t="s">
        <v>16</v>
      </c>
      <c r="I797" s="1039" t="s">
        <v>1490</v>
      </c>
      <c r="J797" s="1039" t="s">
        <v>2203</v>
      </c>
      <c r="K797" s="1037" t="s">
        <v>200</v>
      </c>
    </row>
    <row r="798" spans="1:11" s="500" customFormat="1" ht="30" hidden="1">
      <c r="A798" s="1034"/>
      <c r="B798" s="1036"/>
      <c r="C798" s="1038"/>
      <c r="D798" s="1038"/>
      <c r="E798" s="1038"/>
      <c r="F798" s="1038"/>
      <c r="G798" s="1038"/>
      <c r="H798" s="1038"/>
      <c r="I798" s="1039"/>
      <c r="J798" s="1039"/>
      <c r="K798" s="1038"/>
    </row>
    <row r="799" spans="1:11" s="500" customFormat="1" ht="74.25" hidden="1" customHeight="1">
      <c r="A799" s="1102" t="s">
        <v>1879</v>
      </c>
      <c r="B799" s="1103"/>
      <c r="C799" s="729"/>
      <c r="D799" s="729"/>
      <c r="E799" s="726"/>
      <c r="F799" s="727"/>
      <c r="G799" s="728"/>
      <c r="H799" s="728"/>
      <c r="I799" s="642">
        <f>I800+I807</f>
        <v>79675.199999999997</v>
      </c>
      <c r="J799" s="642">
        <f>J800+J807</f>
        <v>53116.800000000003</v>
      </c>
      <c r="K799" s="642">
        <f>I799+J799</f>
        <v>132792</v>
      </c>
    </row>
    <row r="800" spans="1:11" ht="75" hidden="1" customHeight="1">
      <c r="A800" s="1011" t="s">
        <v>1541</v>
      </c>
      <c r="B800" s="1013"/>
      <c r="C800" s="709"/>
      <c r="D800" s="709"/>
      <c r="E800" s="709"/>
      <c r="F800" s="708"/>
      <c r="G800" s="709"/>
      <c r="H800" s="710"/>
      <c r="I800" s="545">
        <f>SUM(I801:I806)</f>
        <v>77275.199999999997</v>
      </c>
      <c r="J800" s="545">
        <f>SUM(J801:J806)</f>
        <v>51516.800000000003</v>
      </c>
      <c r="K800" s="545">
        <f>I800+J800</f>
        <v>128792</v>
      </c>
    </row>
    <row r="801" spans="1:11" s="510" customFormat="1" ht="75" hidden="1" customHeight="1">
      <c r="A801" s="1020" t="s">
        <v>1892</v>
      </c>
      <c r="B801" s="1022"/>
      <c r="C801" s="714" t="s">
        <v>1880</v>
      </c>
      <c r="D801" s="714">
        <v>70</v>
      </c>
      <c r="E801" s="714" t="s">
        <v>1881</v>
      </c>
      <c r="F801" s="781" t="s">
        <v>2246</v>
      </c>
      <c r="G801" s="1047">
        <v>8100</v>
      </c>
      <c r="H801" s="1099" t="s">
        <v>2273</v>
      </c>
      <c r="I801" s="717">
        <f t="shared" ref="I801:I806" si="27">K801/100*60</f>
        <v>8428.7999999999993</v>
      </c>
      <c r="J801" s="717">
        <f t="shared" ref="J801:J806" si="28">K801/100*40</f>
        <v>5619.2</v>
      </c>
      <c r="K801" s="717">
        <v>14048</v>
      </c>
    </row>
    <row r="802" spans="1:11" s="510" customFormat="1" ht="74.25" hidden="1" customHeight="1">
      <c r="A802" s="1020" t="s">
        <v>1893</v>
      </c>
      <c r="B802" s="1022"/>
      <c r="C802" s="714" t="s">
        <v>1882</v>
      </c>
      <c r="D802" s="714">
        <v>60</v>
      </c>
      <c r="E802" s="714" t="s">
        <v>1883</v>
      </c>
      <c r="F802" s="781" t="s">
        <v>2249</v>
      </c>
      <c r="G802" s="1048"/>
      <c r="H802" s="1100"/>
      <c r="I802" s="717">
        <f t="shared" si="27"/>
        <v>28569.600000000002</v>
      </c>
      <c r="J802" s="717">
        <f t="shared" si="28"/>
        <v>19046.400000000001</v>
      </c>
      <c r="K802" s="717">
        <v>47616</v>
      </c>
    </row>
    <row r="803" spans="1:11" s="510" customFormat="1" ht="75" hidden="1" customHeight="1">
      <c r="A803" s="1020" t="s">
        <v>1894</v>
      </c>
      <c r="B803" s="1022"/>
      <c r="C803" s="714" t="s">
        <v>1884</v>
      </c>
      <c r="D803" s="714">
        <v>80</v>
      </c>
      <c r="E803" s="714" t="s">
        <v>1885</v>
      </c>
      <c r="F803" s="781" t="s">
        <v>2247</v>
      </c>
      <c r="G803" s="1048"/>
      <c r="H803" s="1100"/>
      <c r="I803" s="717">
        <f t="shared" si="27"/>
        <v>5400</v>
      </c>
      <c r="J803" s="717">
        <f t="shared" si="28"/>
        <v>3600</v>
      </c>
      <c r="K803" s="717">
        <v>9000</v>
      </c>
    </row>
    <row r="804" spans="1:11" s="510" customFormat="1" ht="75" hidden="1" customHeight="1">
      <c r="A804" s="1020" t="s">
        <v>1895</v>
      </c>
      <c r="B804" s="1022"/>
      <c r="C804" s="714" t="s">
        <v>1886</v>
      </c>
      <c r="D804" s="714">
        <v>70</v>
      </c>
      <c r="E804" s="714" t="s">
        <v>1887</v>
      </c>
      <c r="F804" s="1104" t="s">
        <v>2248</v>
      </c>
      <c r="G804" s="1048"/>
      <c r="H804" s="1100"/>
      <c r="I804" s="717">
        <f t="shared" si="27"/>
        <v>3000</v>
      </c>
      <c r="J804" s="717">
        <f t="shared" si="28"/>
        <v>2000</v>
      </c>
      <c r="K804" s="717">
        <v>5000</v>
      </c>
    </row>
    <row r="805" spans="1:11" s="510" customFormat="1" ht="75" hidden="1" customHeight="1">
      <c r="A805" s="1020" t="s">
        <v>1896</v>
      </c>
      <c r="B805" s="1022"/>
      <c r="C805" s="714" t="s">
        <v>1888</v>
      </c>
      <c r="D805" s="714">
        <v>80</v>
      </c>
      <c r="E805" s="714" t="s">
        <v>1889</v>
      </c>
      <c r="F805" s="1104"/>
      <c r="G805" s="1048"/>
      <c r="H805" s="1100"/>
      <c r="I805" s="717">
        <f t="shared" si="27"/>
        <v>14181</v>
      </c>
      <c r="J805" s="717">
        <f t="shared" si="28"/>
        <v>9454</v>
      </c>
      <c r="K805" s="717">
        <v>23635</v>
      </c>
    </row>
    <row r="806" spans="1:11" s="510" customFormat="1" ht="75" hidden="1" customHeight="1">
      <c r="A806" s="1020" t="s">
        <v>1897</v>
      </c>
      <c r="B806" s="1022"/>
      <c r="C806" s="714" t="s">
        <v>1890</v>
      </c>
      <c r="D806" s="714">
        <v>80</v>
      </c>
      <c r="E806" s="714" t="s">
        <v>1891</v>
      </c>
      <c r="F806" s="1104"/>
      <c r="G806" s="1048"/>
      <c r="H806" s="1100"/>
      <c r="I806" s="717">
        <f t="shared" si="27"/>
        <v>17695.8</v>
      </c>
      <c r="J806" s="717">
        <f t="shared" si="28"/>
        <v>11797.2</v>
      </c>
      <c r="K806" s="717">
        <v>29493</v>
      </c>
    </row>
    <row r="807" spans="1:11" ht="73.5" hidden="1" customHeight="1">
      <c r="A807" s="1011" t="s">
        <v>312</v>
      </c>
      <c r="B807" s="1013"/>
      <c r="C807" s="709"/>
      <c r="D807" s="709"/>
      <c r="E807" s="709"/>
      <c r="F807" s="708"/>
      <c r="G807" s="709"/>
      <c r="H807" s="710"/>
      <c r="I807" s="545">
        <f>SUM(I808:I808)</f>
        <v>2400</v>
      </c>
      <c r="J807" s="545">
        <f>SUM(J808:J808)</f>
        <v>1600</v>
      </c>
      <c r="K807" s="545">
        <f>I807+J807</f>
        <v>4000</v>
      </c>
    </row>
    <row r="808" spans="1:11" s="510" customFormat="1" ht="74.25" hidden="1" customHeight="1">
      <c r="A808" s="1020" t="s">
        <v>1898</v>
      </c>
      <c r="B808" s="1022"/>
      <c r="C808" s="714" t="s">
        <v>1900</v>
      </c>
      <c r="D808" s="714">
        <v>70</v>
      </c>
      <c r="E808" s="714" t="s">
        <v>1899</v>
      </c>
      <c r="F808" s="777" t="s">
        <v>2225</v>
      </c>
      <c r="G808" s="711">
        <v>8100</v>
      </c>
      <c r="H808" s="783" t="s">
        <v>2273</v>
      </c>
      <c r="I808" s="717">
        <f>K808/100*60</f>
        <v>2400</v>
      </c>
      <c r="J808" s="717">
        <f>K808/100*40</f>
        <v>1600</v>
      </c>
      <c r="K808" s="717">
        <v>4000</v>
      </c>
    </row>
    <row r="809" spans="1:11" s="510" customFormat="1" ht="74.25" hidden="1" customHeight="1">
      <c r="A809" s="753"/>
      <c r="B809" s="753"/>
      <c r="C809" s="754"/>
      <c r="D809" s="754"/>
      <c r="E809" s="754"/>
      <c r="F809" s="755"/>
      <c r="G809" s="758"/>
      <c r="H809" s="756"/>
      <c r="I809" s="757"/>
      <c r="J809" s="757"/>
      <c r="K809" s="757"/>
    </row>
    <row r="810" spans="1:11" ht="34.5" hidden="1" customHeight="1">
      <c r="A810" s="1128" t="s">
        <v>51</v>
      </c>
      <c r="B810" s="1128"/>
      <c r="C810" s="1128"/>
      <c r="D810" s="1128"/>
      <c r="E810" s="1128"/>
      <c r="F810" s="1128"/>
      <c r="G810" s="1128"/>
      <c r="H810" s="1128"/>
      <c r="I810" s="1128"/>
      <c r="J810" s="1128"/>
      <c r="K810" s="1128"/>
    </row>
    <row r="811" spans="1:11" ht="30.75" hidden="1" customHeight="1">
      <c r="A811" s="1128" t="s">
        <v>52</v>
      </c>
      <c r="B811" s="1128"/>
      <c r="C811" s="1128"/>
      <c r="D811" s="1128"/>
      <c r="E811" s="1128"/>
      <c r="F811" s="1128"/>
      <c r="G811" s="1128"/>
      <c r="H811" s="1128"/>
      <c r="I811" s="1128"/>
      <c r="J811" s="1128"/>
      <c r="K811" s="1128"/>
    </row>
    <row r="812" spans="1:11" ht="33" hidden="1" customHeight="1">
      <c r="A812" s="1132" t="s">
        <v>50</v>
      </c>
      <c r="B812" s="1132"/>
      <c r="C812" s="1132"/>
      <c r="D812" s="1132"/>
      <c r="E812" s="1132"/>
      <c r="F812" s="1132"/>
      <c r="G812" s="1132"/>
      <c r="H812" s="1132"/>
      <c r="I812" s="1132"/>
      <c r="J812" s="1132"/>
      <c r="K812" s="1132"/>
    </row>
    <row r="813" spans="1:11" ht="33" hidden="1" customHeight="1">
      <c r="A813" s="154"/>
      <c r="B813" s="154"/>
      <c r="C813" s="154"/>
      <c r="D813" s="154"/>
      <c r="E813" s="154"/>
      <c r="F813" s="154"/>
      <c r="G813" s="707"/>
      <c r="H813" s="707"/>
      <c r="I813" s="707"/>
      <c r="J813" s="707"/>
      <c r="K813" s="707"/>
    </row>
    <row r="814" spans="1:11" ht="35.25" hidden="1">
      <c r="A814" s="1128" t="s">
        <v>1336</v>
      </c>
      <c r="B814" s="1128"/>
      <c r="C814" s="1128"/>
      <c r="D814" s="1128"/>
      <c r="E814" s="1128"/>
      <c r="F814" s="1128"/>
      <c r="G814" s="1128"/>
      <c r="H814" s="1128"/>
      <c r="I814" s="1128"/>
      <c r="J814" s="1128"/>
      <c r="K814" s="1128"/>
    </row>
    <row r="815" spans="1:11" s="620" customFormat="1" ht="33" hidden="1">
      <c r="A815" s="65"/>
      <c r="B815" s="65"/>
      <c r="C815" s="65"/>
      <c r="D815" s="65"/>
      <c r="E815" s="65"/>
      <c r="F815" s="65"/>
      <c r="G815" s="68"/>
      <c r="H815" s="68"/>
      <c r="I815" s="68"/>
      <c r="J815" s="68"/>
      <c r="K815" s="68"/>
    </row>
    <row r="816" spans="1:11" ht="20.100000000000001" hidden="1" customHeight="1">
      <c r="A816" s="65"/>
      <c r="B816" s="65"/>
      <c r="C816" s="65"/>
      <c r="D816" s="65"/>
      <c r="E816" s="65"/>
      <c r="F816" s="65"/>
      <c r="G816" s="68"/>
      <c r="H816" s="68"/>
      <c r="I816" s="68"/>
      <c r="J816" s="68"/>
      <c r="K816" s="68"/>
    </row>
    <row r="817" spans="1:11" ht="20.100000000000001" hidden="1" customHeight="1">
      <c r="A817" s="979"/>
      <c r="B817" s="979"/>
      <c r="C817" s="979"/>
      <c r="D817" s="979"/>
      <c r="E817" s="979"/>
      <c r="F817" s="979"/>
      <c r="G817" s="979"/>
      <c r="H817" s="979"/>
      <c r="I817" s="979"/>
      <c r="J817" s="979"/>
      <c r="K817" s="979"/>
    </row>
    <row r="818" spans="1:11" ht="45.75" hidden="1" customHeight="1">
      <c r="A818" s="1030" t="s">
        <v>1382</v>
      </c>
      <c r="B818" s="1030"/>
      <c r="C818" s="1030"/>
      <c r="D818" s="1030"/>
      <c r="E818" s="1030"/>
      <c r="F818" s="1030"/>
      <c r="G818" s="1030"/>
      <c r="H818" s="1030"/>
      <c r="I818" s="1030"/>
      <c r="J818" s="1030"/>
      <c r="K818" s="1030"/>
    </row>
    <row r="819" spans="1:11" ht="66" hidden="1" customHeight="1">
      <c r="A819" s="1031" t="s">
        <v>37</v>
      </c>
      <c r="B819" s="1033"/>
      <c r="C819" s="1037" t="s">
        <v>178</v>
      </c>
      <c r="D819" s="1037" t="s">
        <v>179</v>
      </c>
      <c r="E819" s="1037" t="s">
        <v>1521</v>
      </c>
      <c r="F819" s="1037" t="s">
        <v>14</v>
      </c>
      <c r="G819" s="1037" t="s">
        <v>1515</v>
      </c>
      <c r="H819" s="1037" t="s">
        <v>16</v>
      </c>
      <c r="I819" s="1039" t="s">
        <v>1490</v>
      </c>
      <c r="J819" s="1039" t="s">
        <v>2203</v>
      </c>
      <c r="K819" s="1037" t="s">
        <v>200</v>
      </c>
    </row>
    <row r="820" spans="1:11" s="500" customFormat="1" ht="30" hidden="1">
      <c r="A820" s="1034"/>
      <c r="B820" s="1036"/>
      <c r="C820" s="1038"/>
      <c r="D820" s="1038"/>
      <c r="E820" s="1038"/>
      <c r="F820" s="1038"/>
      <c r="G820" s="1038"/>
      <c r="H820" s="1038"/>
      <c r="I820" s="1039"/>
      <c r="J820" s="1039"/>
      <c r="K820" s="1038"/>
    </row>
    <row r="821" spans="1:11" s="500" customFormat="1" ht="74.25" hidden="1" customHeight="1">
      <c r="A821" s="1102" t="s">
        <v>1901</v>
      </c>
      <c r="B821" s="1103"/>
      <c r="C821" s="729"/>
      <c r="D821" s="729"/>
      <c r="E821" s="726"/>
      <c r="F821" s="727"/>
      <c r="G821" s="728"/>
      <c r="H821" s="728"/>
      <c r="I821" s="642">
        <f>I822+I834+I832</f>
        <v>44001.468000000001</v>
      </c>
      <c r="J821" s="642">
        <f>J822+J834+J832</f>
        <v>29334.311999999998</v>
      </c>
      <c r="K821" s="642">
        <f>I821+J821</f>
        <v>73335.78</v>
      </c>
    </row>
    <row r="822" spans="1:11" ht="75" hidden="1" customHeight="1">
      <c r="A822" s="1011" t="s">
        <v>1541</v>
      </c>
      <c r="B822" s="1013"/>
      <c r="C822" s="709"/>
      <c r="D822" s="709"/>
      <c r="E822" s="709"/>
      <c r="F822" s="708"/>
      <c r="G822" s="709"/>
      <c r="H822" s="710"/>
      <c r="I822" s="545">
        <f>SUM(I823:I831)</f>
        <v>32527.601999999999</v>
      </c>
      <c r="J822" s="545">
        <f>SUM(J823:J831)</f>
        <v>21685.067999999999</v>
      </c>
      <c r="K822" s="545">
        <f>I822+J822</f>
        <v>54212.67</v>
      </c>
    </row>
    <row r="823" spans="1:11" s="510" customFormat="1" ht="75" hidden="1" customHeight="1">
      <c r="A823" s="1020" t="s">
        <v>1919</v>
      </c>
      <c r="B823" s="1022"/>
      <c r="C823" s="714" t="s">
        <v>1904</v>
      </c>
      <c r="D823" s="714">
        <v>6</v>
      </c>
      <c r="E823" s="714" t="s">
        <v>1905</v>
      </c>
      <c r="F823" s="1044" t="s">
        <v>2246</v>
      </c>
      <c r="G823" s="1047">
        <v>8100</v>
      </c>
      <c r="H823" s="1099" t="s">
        <v>2273</v>
      </c>
      <c r="I823" s="717">
        <f t="shared" ref="I823:I831" si="29">K823/100*60</f>
        <v>360</v>
      </c>
      <c r="J823" s="717">
        <f t="shared" ref="J823:J831" si="30">K823/100*40</f>
        <v>240</v>
      </c>
      <c r="K823" s="717">
        <v>600</v>
      </c>
    </row>
    <row r="824" spans="1:11" s="510" customFormat="1" ht="75" hidden="1" customHeight="1">
      <c r="A824" s="1020" t="s">
        <v>1920</v>
      </c>
      <c r="B824" s="1022"/>
      <c r="C824" s="714" t="s">
        <v>1906</v>
      </c>
      <c r="D824" s="714">
        <v>4</v>
      </c>
      <c r="E824" s="714" t="s">
        <v>1907</v>
      </c>
      <c r="F824" s="1046"/>
      <c r="G824" s="1048"/>
      <c r="H824" s="1100"/>
      <c r="I824" s="717">
        <f t="shared" si="29"/>
        <v>3780</v>
      </c>
      <c r="J824" s="717">
        <f t="shared" si="30"/>
        <v>2520</v>
      </c>
      <c r="K824" s="717">
        <v>6300</v>
      </c>
    </row>
    <row r="825" spans="1:11" s="510" customFormat="1" ht="75" hidden="1" customHeight="1">
      <c r="A825" s="1020" t="s">
        <v>1606</v>
      </c>
      <c r="B825" s="1022"/>
      <c r="C825" s="714" t="s">
        <v>1908</v>
      </c>
      <c r="D825" s="714">
        <v>16</v>
      </c>
      <c r="E825" s="714" t="s">
        <v>1905</v>
      </c>
      <c r="F825" s="1044" t="s">
        <v>2247</v>
      </c>
      <c r="G825" s="1048"/>
      <c r="H825" s="1100"/>
      <c r="I825" s="717">
        <f t="shared" si="29"/>
        <v>3563.58</v>
      </c>
      <c r="J825" s="717">
        <f t="shared" si="30"/>
        <v>2375.7200000000003</v>
      </c>
      <c r="K825" s="717">
        <v>5939.3</v>
      </c>
    </row>
    <row r="826" spans="1:11" s="510" customFormat="1" ht="75" hidden="1" customHeight="1">
      <c r="A826" s="1020" t="s">
        <v>1921</v>
      </c>
      <c r="B826" s="1022"/>
      <c r="C826" s="714" t="s">
        <v>1908</v>
      </c>
      <c r="D826" s="714">
        <v>16</v>
      </c>
      <c r="E826" s="714" t="s">
        <v>1905</v>
      </c>
      <c r="F826" s="1045"/>
      <c r="G826" s="1048"/>
      <c r="H826" s="1100"/>
      <c r="I826" s="717">
        <f t="shared" si="29"/>
        <v>322.42200000000003</v>
      </c>
      <c r="J826" s="717">
        <f t="shared" si="30"/>
        <v>214.94800000000001</v>
      </c>
      <c r="K826" s="717">
        <v>537.37</v>
      </c>
    </row>
    <row r="827" spans="1:11" s="510" customFormat="1" ht="74.25" hidden="1" customHeight="1">
      <c r="A827" s="1020" t="s">
        <v>1922</v>
      </c>
      <c r="B827" s="1022"/>
      <c r="C827" s="714" t="s">
        <v>1909</v>
      </c>
      <c r="D827" s="714">
        <v>450</v>
      </c>
      <c r="E827" s="714" t="s">
        <v>1905</v>
      </c>
      <c r="F827" s="1046"/>
      <c r="G827" s="1048"/>
      <c r="H827" s="1100"/>
      <c r="I827" s="717">
        <f t="shared" si="29"/>
        <v>2160</v>
      </c>
      <c r="J827" s="717">
        <f t="shared" si="30"/>
        <v>1440</v>
      </c>
      <c r="K827" s="717">
        <v>3600</v>
      </c>
    </row>
    <row r="828" spans="1:11" s="510" customFormat="1" ht="75" hidden="1" customHeight="1">
      <c r="A828" s="1020" t="s">
        <v>1902</v>
      </c>
      <c r="B828" s="1022"/>
      <c r="C828" s="714" t="s">
        <v>1910</v>
      </c>
      <c r="D828" s="714">
        <v>2</v>
      </c>
      <c r="E828" s="714" t="s">
        <v>1905</v>
      </c>
      <c r="F828" s="1044" t="s">
        <v>2248</v>
      </c>
      <c r="G828" s="1048"/>
      <c r="H828" s="1100"/>
      <c r="I828" s="717">
        <f t="shared" si="29"/>
        <v>5100</v>
      </c>
      <c r="J828" s="717">
        <f t="shared" si="30"/>
        <v>3400</v>
      </c>
      <c r="K828" s="717">
        <v>8500</v>
      </c>
    </row>
    <row r="829" spans="1:11" s="510" customFormat="1" ht="75" hidden="1" customHeight="1">
      <c r="A829" s="1020" t="s">
        <v>1923</v>
      </c>
      <c r="B829" s="1022"/>
      <c r="C829" s="714" t="s">
        <v>1911</v>
      </c>
      <c r="D829" s="714">
        <v>8</v>
      </c>
      <c r="E829" s="714" t="s">
        <v>1905</v>
      </c>
      <c r="F829" s="1045"/>
      <c r="G829" s="1048"/>
      <c r="H829" s="1100"/>
      <c r="I829" s="717">
        <f t="shared" si="29"/>
        <v>960</v>
      </c>
      <c r="J829" s="717">
        <f t="shared" si="30"/>
        <v>640</v>
      </c>
      <c r="K829" s="717">
        <v>1600</v>
      </c>
    </row>
    <row r="830" spans="1:11" s="510" customFormat="1" ht="75" hidden="1" customHeight="1">
      <c r="A830" s="1020" t="s">
        <v>1924</v>
      </c>
      <c r="B830" s="1022"/>
      <c r="C830" s="714" t="s">
        <v>1912</v>
      </c>
      <c r="D830" s="714">
        <v>100</v>
      </c>
      <c r="E830" s="714" t="s">
        <v>1913</v>
      </c>
      <c r="F830" s="1045"/>
      <c r="G830" s="1048"/>
      <c r="H830" s="1100"/>
      <c r="I830" s="717">
        <f t="shared" si="29"/>
        <v>4833.6000000000004</v>
      </c>
      <c r="J830" s="717">
        <f t="shared" si="30"/>
        <v>3222.4</v>
      </c>
      <c r="K830" s="717">
        <v>8056</v>
      </c>
    </row>
    <row r="831" spans="1:11" s="510" customFormat="1" ht="75" hidden="1" customHeight="1">
      <c r="A831" s="1020" t="s">
        <v>1925</v>
      </c>
      <c r="B831" s="1022"/>
      <c r="C831" s="714" t="s">
        <v>1914</v>
      </c>
      <c r="D831" s="714">
        <v>36</v>
      </c>
      <c r="E831" s="714" t="s">
        <v>1913</v>
      </c>
      <c r="F831" s="1046"/>
      <c r="G831" s="1049"/>
      <c r="H831" s="1101"/>
      <c r="I831" s="717">
        <f t="shared" si="29"/>
        <v>11448</v>
      </c>
      <c r="J831" s="717">
        <f t="shared" si="30"/>
        <v>7632</v>
      </c>
      <c r="K831" s="717">
        <v>19080</v>
      </c>
    </row>
    <row r="832" spans="1:11" ht="73.5" hidden="1" customHeight="1">
      <c r="A832" s="1011" t="s">
        <v>278</v>
      </c>
      <c r="B832" s="1013"/>
      <c r="C832" s="709"/>
      <c r="D832" s="709"/>
      <c r="E832" s="709"/>
      <c r="F832" s="708"/>
      <c r="G832" s="709"/>
      <c r="H832" s="710"/>
      <c r="I832" s="545">
        <f>SUM(I833:I833)</f>
        <v>2520</v>
      </c>
      <c r="J832" s="545">
        <f>SUM(J833:J833)</f>
        <v>1680</v>
      </c>
      <c r="K832" s="545">
        <f>I832+J832</f>
        <v>4200</v>
      </c>
    </row>
    <row r="833" spans="1:11" s="510" customFormat="1" ht="74.25" hidden="1" customHeight="1">
      <c r="A833" s="1020" t="s">
        <v>1903</v>
      </c>
      <c r="B833" s="1022"/>
      <c r="C833" s="714" t="s">
        <v>1215</v>
      </c>
      <c r="D833" s="714">
        <v>4</v>
      </c>
      <c r="E833" s="714" t="s">
        <v>1915</v>
      </c>
      <c r="F833" s="777" t="s">
        <v>2235</v>
      </c>
      <c r="G833" s="745">
        <v>8100</v>
      </c>
      <c r="H833" s="794" t="s">
        <v>2445</v>
      </c>
      <c r="I833" s="717">
        <f>K833/100*60</f>
        <v>2520</v>
      </c>
      <c r="J833" s="717">
        <f>K833/100*40</f>
        <v>1680</v>
      </c>
      <c r="K833" s="717">
        <v>4200</v>
      </c>
    </row>
    <row r="834" spans="1:11" ht="73.5" hidden="1" customHeight="1">
      <c r="A834" s="1011" t="s">
        <v>312</v>
      </c>
      <c r="B834" s="1013"/>
      <c r="C834" s="709"/>
      <c r="D834" s="709"/>
      <c r="E834" s="709"/>
      <c r="F834" s="708"/>
      <c r="G834" s="709"/>
      <c r="H834" s="710"/>
      <c r="I834" s="545">
        <f>SUM(I835:I837)</f>
        <v>8953.866</v>
      </c>
      <c r="J834" s="545">
        <f>SUM(J835:J837)</f>
        <v>5969.2439999999997</v>
      </c>
      <c r="K834" s="545">
        <f>I834+J834</f>
        <v>14923.11</v>
      </c>
    </row>
    <row r="835" spans="1:11" s="510" customFormat="1" ht="74.25" hidden="1" customHeight="1">
      <c r="A835" s="1020" t="s">
        <v>1926</v>
      </c>
      <c r="B835" s="1022"/>
      <c r="C835" s="714" t="s">
        <v>1916</v>
      </c>
      <c r="D835" s="714">
        <v>8</v>
      </c>
      <c r="E835" s="714" t="s">
        <v>1917</v>
      </c>
      <c r="F835" s="1044" t="s">
        <v>2225</v>
      </c>
      <c r="G835" s="1047">
        <v>8100</v>
      </c>
      <c r="H835" s="1099" t="s">
        <v>2273</v>
      </c>
      <c r="I835" s="717">
        <f>K835/100*60</f>
        <v>4200</v>
      </c>
      <c r="J835" s="717">
        <f>K835/100*40</f>
        <v>2800</v>
      </c>
      <c r="K835" s="717">
        <v>7000</v>
      </c>
    </row>
    <row r="836" spans="1:11" s="510" customFormat="1" ht="74.25" hidden="1" customHeight="1">
      <c r="A836" s="1020" t="s">
        <v>1927</v>
      </c>
      <c r="B836" s="1022"/>
      <c r="C836" s="714" t="s">
        <v>1918</v>
      </c>
      <c r="D836" s="714">
        <v>9</v>
      </c>
      <c r="E836" s="714" t="s">
        <v>1917</v>
      </c>
      <c r="F836" s="1045"/>
      <c r="G836" s="1048"/>
      <c r="H836" s="1100"/>
      <c r="I836" s="717">
        <f>K836/100*60</f>
        <v>1800</v>
      </c>
      <c r="J836" s="717">
        <f>K836/100*40</f>
        <v>1200</v>
      </c>
      <c r="K836" s="717">
        <v>3000</v>
      </c>
    </row>
    <row r="837" spans="1:11" s="510" customFormat="1" ht="74.25" hidden="1" customHeight="1">
      <c r="A837" s="1020" t="s">
        <v>1928</v>
      </c>
      <c r="B837" s="1022"/>
      <c r="C837" s="714" t="s">
        <v>1908</v>
      </c>
      <c r="D837" s="714">
        <v>16</v>
      </c>
      <c r="E837" s="714" t="s">
        <v>1905</v>
      </c>
      <c r="F837" s="1046"/>
      <c r="G837" s="1049"/>
      <c r="H837" s="1101"/>
      <c r="I837" s="717">
        <f>K837/100*60</f>
        <v>2953.866</v>
      </c>
      <c r="J837" s="717">
        <f>K837/100*40</f>
        <v>1969.2439999999999</v>
      </c>
      <c r="K837" s="717">
        <v>4923.1099999999997</v>
      </c>
    </row>
    <row r="838" spans="1:11" ht="98.25" hidden="1" customHeight="1">
      <c r="A838" s="1141"/>
      <c r="B838" s="1141"/>
      <c r="C838" s="1141"/>
      <c r="D838" s="1141"/>
      <c r="E838" s="1141"/>
      <c r="F838" s="1141"/>
      <c r="G838" s="1141"/>
      <c r="H838" s="1141"/>
      <c r="I838" s="1141"/>
      <c r="J838" s="1141"/>
      <c r="K838" s="1141"/>
    </row>
    <row r="839" spans="1:11" ht="54.75" hidden="1" customHeight="1">
      <c r="A839" s="528"/>
      <c r="B839" s="529"/>
      <c r="C839" s="529"/>
      <c r="D839" s="530"/>
      <c r="E839" s="531"/>
      <c r="F839" s="532"/>
      <c r="G839" s="533"/>
      <c r="H839" s="534"/>
      <c r="I839" s="535"/>
      <c r="J839" s="535"/>
      <c r="K839" s="535"/>
    </row>
    <row r="840" spans="1:11" ht="34.5" hidden="1" customHeight="1">
      <c r="A840" s="1128" t="s">
        <v>51</v>
      </c>
      <c r="B840" s="1128"/>
      <c r="C840" s="1128"/>
      <c r="D840" s="1128"/>
      <c r="E840" s="1128"/>
      <c r="F840" s="1128"/>
      <c r="G840" s="1128"/>
      <c r="H840" s="1128"/>
      <c r="I840" s="1128"/>
      <c r="J840" s="1128"/>
      <c r="K840" s="1128"/>
    </row>
    <row r="841" spans="1:11" ht="30.75" hidden="1" customHeight="1">
      <c r="A841" s="1128" t="s">
        <v>52</v>
      </c>
      <c r="B841" s="1128"/>
      <c r="C841" s="1128"/>
      <c r="D841" s="1128"/>
      <c r="E841" s="1128"/>
      <c r="F841" s="1128"/>
      <c r="G841" s="1128"/>
      <c r="H841" s="1128"/>
      <c r="I841" s="1128"/>
      <c r="J841" s="1128"/>
      <c r="K841" s="1128"/>
    </row>
    <row r="842" spans="1:11" ht="33" hidden="1" customHeight="1">
      <c r="A842" s="1132" t="s">
        <v>50</v>
      </c>
      <c r="B842" s="1132"/>
      <c r="C842" s="1132"/>
      <c r="D842" s="1132"/>
      <c r="E842" s="1132"/>
      <c r="F842" s="1132"/>
      <c r="G842" s="1132"/>
      <c r="H842" s="1132"/>
      <c r="I842" s="1132"/>
      <c r="J842" s="1132"/>
      <c r="K842" s="1132"/>
    </row>
    <row r="843" spans="1:11" ht="33" hidden="1" customHeight="1">
      <c r="A843" s="154"/>
      <c r="B843" s="154"/>
      <c r="C843" s="154"/>
      <c r="D843" s="154"/>
      <c r="E843" s="154"/>
      <c r="F843" s="154"/>
      <c r="G843" s="707"/>
      <c r="H843" s="707"/>
      <c r="I843" s="707"/>
      <c r="J843" s="707"/>
      <c r="K843" s="707"/>
    </row>
    <row r="844" spans="1:11" ht="35.25" hidden="1">
      <c r="A844" s="1128" t="s">
        <v>1336</v>
      </c>
      <c r="B844" s="1128"/>
      <c r="C844" s="1128"/>
      <c r="D844" s="1128"/>
      <c r="E844" s="1128"/>
      <c r="F844" s="1128"/>
      <c r="G844" s="1128"/>
      <c r="H844" s="1128"/>
      <c r="I844" s="1128"/>
      <c r="J844" s="1128"/>
      <c r="K844" s="1128"/>
    </row>
    <row r="845" spans="1:11" s="620" customFormat="1" ht="33" hidden="1">
      <c r="A845" s="65"/>
      <c r="B845" s="65"/>
      <c r="C845" s="65"/>
      <c r="D845" s="65"/>
      <c r="E845" s="65"/>
      <c r="F845" s="65"/>
      <c r="G845" s="68"/>
      <c r="H845" s="68"/>
      <c r="I845" s="68"/>
      <c r="J845" s="68"/>
      <c r="K845" s="68"/>
    </row>
    <row r="846" spans="1:11" ht="20.100000000000001" hidden="1" customHeight="1">
      <c r="A846" s="65"/>
      <c r="B846" s="65"/>
      <c r="C846" s="65"/>
      <c r="D846" s="65"/>
      <c r="E846" s="65"/>
      <c r="F846" s="65"/>
      <c r="G846" s="68"/>
      <c r="H846" s="68"/>
      <c r="I846" s="68"/>
      <c r="J846" s="68"/>
      <c r="K846" s="68"/>
    </row>
    <row r="847" spans="1:11" ht="20.100000000000001" hidden="1" customHeight="1">
      <c r="A847" s="979"/>
      <c r="B847" s="979"/>
      <c r="C847" s="979"/>
      <c r="D847" s="979"/>
      <c r="E847" s="979"/>
      <c r="F847" s="979"/>
      <c r="G847" s="979"/>
      <c r="H847" s="979"/>
      <c r="I847" s="979"/>
      <c r="J847" s="979"/>
      <c r="K847" s="979"/>
    </row>
    <row r="848" spans="1:11" ht="45.75" hidden="1" customHeight="1">
      <c r="A848" s="1030" t="s">
        <v>1382</v>
      </c>
      <c r="B848" s="1030"/>
      <c r="C848" s="1030"/>
      <c r="D848" s="1030"/>
      <c r="E848" s="1030"/>
      <c r="F848" s="1030"/>
      <c r="G848" s="1030"/>
      <c r="H848" s="1030"/>
      <c r="I848" s="1030"/>
      <c r="J848" s="1030"/>
      <c r="K848" s="1030"/>
    </row>
    <row r="849" spans="1:11" ht="66" hidden="1" customHeight="1">
      <c r="A849" s="1031" t="s">
        <v>37</v>
      </c>
      <c r="B849" s="1033"/>
      <c r="C849" s="1037" t="s">
        <v>178</v>
      </c>
      <c r="D849" s="1037" t="s">
        <v>179</v>
      </c>
      <c r="E849" s="1037" t="s">
        <v>1521</v>
      </c>
      <c r="F849" s="1037" t="s">
        <v>14</v>
      </c>
      <c r="G849" s="1037" t="s">
        <v>1515</v>
      </c>
      <c r="H849" s="1037" t="s">
        <v>16</v>
      </c>
      <c r="I849" s="1039" t="s">
        <v>1490</v>
      </c>
      <c r="J849" s="1039" t="s">
        <v>2203</v>
      </c>
      <c r="K849" s="1037" t="s">
        <v>200</v>
      </c>
    </row>
    <row r="850" spans="1:11" s="500" customFormat="1" ht="30" hidden="1">
      <c r="A850" s="1034"/>
      <c r="B850" s="1036"/>
      <c r="C850" s="1038"/>
      <c r="D850" s="1038"/>
      <c r="E850" s="1038"/>
      <c r="F850" s="1038"/>
      <c r="G850" s="1038"/>
      <c r="H850" s="1038"/>
      <c r="I850" s="1039"/>
      <c r="J850" s="1039"/>
      <c r="K850" s="1038"/>
    </row>
    <row r="851" spans="1:11" s="500" customFormat="1" ht="74.25" hidden="1" customHeight="1">
      <c r="A851" s="1102" t="s">
        <v>1982</v>
      </c>
      <c r="B851" s="1103"/>
      <c r="C851" s="729"/>
      <c r="D851" s="729"/>
      <c r="E851" s="726"/>
      <c r="F851" s="727"/>
      <c r="G851" s="728"/>
      <c r="H851" s="728"/>
      <c r="I851" s="642">
        <f>I852+I861+I859</f>
        <v>42717</v>
      </c>
      <c r="J851" s="642">
        <f>J852+J861+J859</f>
        <v>28478</v>
      </c>
      <c r="K851" s="642">
        <f>I851+J851</f>
        <v>71195</v>
      </c>
    </row>
    <row r="852" spans="1:11" ht="75" hidden="1" customHeight="1">
      <c r="A852" s="1011" t="s">
        <v>1541</v>
      </c>
      <c r="B852" s="1013"/>
      <c r="C852" s="709"/>
      <c r="D852" s="709"/>
      <c r="E852" s="709"/>
      <c r="F852" s="708"/>
      <c r="G852" s="709"/>
      <c r="H852" s="710"/>
      <c r="I852" s="545">
        <f>SUM(I853:I858)</f>
        <v>38817</v>
      </c>
      <c r="J852" s="545">
        <f>SUM(J853:J858)</f>
        <v>25878</v>
      </c>
      <c r="K852" s="545">
        <f>I852+J852</f>
        <v>64695</v>
      </c>
    </row>
    <row r="853" spans="1:11" s="510" customFormat="1" ht="75" hidden="1" customHeight="1">
      <c r="A853" s="746" t="s">
        <v>1984</v>
      </c>
      <c r="B853" s="747"/>
      <c r="C853" s="714" t="s">
        <v>1993</v>
      </c>
      <c r="D853" s="714">
        <v>1</v>
      </c>
      <c r="E853" s="714" t="s">
        <v>1994</v>
      </c>
      <c r="F853" s="781" t="s">
        <v>2249</v>
      </c>
      <c r="G853" s="1047">
        <v>8100</v>
      </c>
      <c r="H853" s="1099" t="s">
        <v>2273</v>
      </c>
      <c r="I853" s="717">
        <f t="shared" ref="I853:I858" si="31">K853/100*60</f>
        <v>3571.2000000000003</v>
      </c>
      <c r="J853" s="717">
        <f t="shared" ref="J853:J858" si="32">K853/100*40</f>
        <v>2380.8000000000002</v>
      </c>
      <c r="K853" s="717">
        <v>5952</v>
      </c>
    </row>
    <row r="854" spans="1:11" s="510" customFormat="1" ht="75" hidden="1" customHeight="1">
      <c r="A854" s="746" t="s">
        <v>1985</v>
      </c>
      <c r="B854" s="747"/>
      <c r="C854" s="714" t="s">
        <v>79</v>
      </c>
      <c r="D854" s="714"/>
      <c r="E854" s="714" t="s">
        <v>1544</v>
      </c>
      <c r="F854" s="1044" t="s">
        <v>2246</v>
      </c>
      <c r="G854" s="1048"/>
      <c r="H854" s="1100"/>
      <c r="I854" s="717">
        <f t="shared" si="31"/>
        <v>6000</v>
      </c>
      <c r="J854" s="717">
        <f t="shared" si="32"/>
        <v>4000</v>
      </c>
      <c r="K854" s="717">
        <v>10000</v>
      </c>
    </row>
    <row r="855" spans="1:11" s="510" customFormat="1" ht="75" hidden="1" customHeight="1">
      <c r="A855" s="746" t="s">
        <v>1986</v>
      </c>
      <c r="B855" s="747"/>
      <c r="C855" s="714" t="s">
        <v>1995</v>
      </c>
      <c r="D855" s="714">
        <v>1</v>
      </c>
      <c r="E855" s="714" t="s">
        <v>1649</v>
      </c>
      <c r="F855" s="1046"/>
      <c r="G855" s="1048"/>
      <c r="H855" s="1100"/>
      <c r="I855" s="717">
        <f t="shared" si="31"/>
        <v>8245.8000000000011</v>
      </c>
      <c r="J855" s="717">
        <f t="shared" si="32"/>
        <v>5497.2000000000007</v>
      </c>
      <c r="K855" s="717">
        <v>13743</v>
      </c>
    </row>
    <row r="856" spans="1:11" s="510" customFormat="1" ht="75" hidden="1" customHeight="1">
      <c r="A856" s="746" t="s">
        <v>1983</v>
      </c>
      <c r="B856" s="747"/>
      <c r="C856" s="714" t="s">
        <v>1991</v>
      </c>
      <c r="D856" s="714">
        <v>2</v>
      </c>
      <c r="E856" s="714" t="s">
        <v>1992</v>
      </c>
      <c r="F856" s="781" t="s">
        <v>2247</v>
      </c>
      <c r="G856" s="1048"/>
      <c r="H856" s="1100"/>
      <c r="I856" s="717">
        <f t="shared" si="31"/>
        <v>9000</v>
      </c>
      <c r="J856" s="717">
        <f t="shared" si="32"/>
        <v>6000</v>
      </c>
      <c r="K856" s="717">
        <v>15000</v>
      </c>
    </row>
    <row r="857" spans="1:11" s="510" customFormat="1" ht="74.25" hidden="1" customHeight="1">
      <c r="A857" s="746" t="s">
        <v>1987</v>
      </c>
      <c r="B857" s="747"/>
      <c r="C857" s="714" t="s">
        <v>1996</v>
      </c>
      <c r="D857" s="714">
        <v>10</v>
      </c>
      <c r="E857" s="714" t="s">
        <v>1997</v>
      </c>
      <c r="F857" s="1044" t="s">
        <v>2248</v>
      </c>
      <c r="G857" s="1048"/>
      <c r="H857" s="1100"/>
      <c r="I857" s="717">
        <f t="shared" si="31"/>
        <v>9000</v>
      </c>
      <c r="J857" s="717">
        <f t="shared" si="32"/>
        <v>6000</v>
      </c>
      <c r="K857" s="717">
        <v>15000</v>
      </c>
    </row>
    <row r="858" spans="1:11" s="510" customFormat="1" ht="75" hidden="1" customHeight="1">
      <c r="A858" s="746" t="s">
        <v>1988</v>
      </c>
      <c r="B858" s="747"/>
      <c r="C858" s="714" t="s">
        <v>216</v>
      </c>
      <c r="D858" s="714">
        <v>9</v>
      </c>
      <c r="E858" s="714" t="s">
        <v>1997</v>
      </c>
      <c r="F858" s="1046"/>
      <c r="G858" s="1049"/>
      <c r="H858" s="1101"/>
      <c r="I858" s="717">
        <f t="shared" si="31"/>
        <v>3000</v>
      </c>
      <c r="J858" s="717">
        <f t="shared" si="32"/>
        <v>2000</v>
      </c>
      <c r="K858" s="717">
        <v>5000</v>
      </c>
    </row>
    <row r="859" spans="1:11" ht="73.5" hidden="1" customHeight="1">
      <c r="A859" s="1011" t="s">
        <v>278</v>
      </c>
      <c r="B859" s="1013"/>
      <c r="C859" s="709"/>
      <c r="D859" s="709"/>
      <c r="E859" s="709"/>
      <c r="F859" s="708"/>
      <c r="G859" s="709"/>
      <c r="H859" s="710"/>
      <c r="I859" s="545">
        <f>SUM(I860:I860)</f>
        <v>1500</v>
      </c>
      <c r="J859" s="545">
        <f>SUM(J860:J860)</f>
        <v>1000</v>
      </c>
      <c r="K859" s="545">
        <f>I859+J859</f>
        <v>2500</v>
      </c>
    </row>
    <row r="860" spans="1:11" s="510" customFormat="1" ht="74.25" hidden="1" customHeight="1">
      <c r="A860" s="1020" t="s">
        <v>1903</v>
      </c>
      <c r="B860" s="1022"/>
      <c r="C860" s="714" t="s">
        <v>1215</v>
      </c>
      <c r="D860" s="714">
        <v>5</v>
      </c>
      <c r="E860" s="714" t="s">
        <v>1998</v>
      </c>
      <c r="F860" s="777" t="s">
        <v>2235</v>
      </c>
      <c r="G860" s="745">
        <v>8100</v>
      </c>
      <c r="H860" s="794" t="s">
        <v>2445</v>
      </c>
      <c r="I860" s="717">
        <f>K860/100*60</f>
        <v>1500</v>
      </c>
      <c r="J860" s="717">
        <f>K860/100*40</f>
        <v>1000</v>
      </c>
      <c r="K860" s="717">
        <v>2500</v>
      </c>
    </row>
    <row r="861" spans="1:11" ht="73.5" hidden="1" customHeight="1">
      <c r="A861" s="1011" t="s">
        <v>312</v>
      </c>
      <c r="B861" s="1013"/>
      <c r="C861" s="709"/>
      <c r="D861" s="709"/>
      <c r="E861" s="709"/>
      <c r="F861" s="708"/>
      <c r="G861" s="709"/>
      <c r="H861" s="710"/>
      <c r="I861" s="545">
        <f>SUM(I862:I863)</f>
        <v>2400</v>
      </c>
      <c r="J861" s="545">
        <f>SUM(J862:J863)</f>
        <v>1600</v>
      </c>
      <c r="K861" s="545">
        <f>I861+J861</f>
        <v>4000</v>
      </c>
    </row>
    <row r="862" spans="1:11" s="510" customFormat="1" ht="74.25" hidden="1" customHeight="1">
      <c r="A862" s="746" t="s">
        <v>1989</v>
      </c>
      <c r="B862" s="747"/>
      <c r="C862" s="714" t="s">
        <v>1999</v>
      </c>
      <c r="D862" s="714">
        <v>35</v>
      </c>
      <c r="E862" s="714" t="s">
        <v>2000</v>
      </c>
      <c r="F862" s="1044" t="s">
        <v>2225</v>
      </c>
      <c r="G862" s="1047">
        <v>8100</v>
      </c>
      <c r="H862" s="1099" t="s">
        <v>2273</v>
      </c>
      <c r="I862" s="717">
        <f>K862/100*60</f>
        <v>600</v>
      </c>
      <c r="J862" s="717">
        <f>K862/100*40</f>
        <v>400</v>
      </c>
      <c r="K862" s="717">
        <v>1000</v>
      </c>
    </row>
    <row r="863" spans="1:11" s="510" customFormat="1" ht="74.25" hidden="1" customHeight="1">
      <c r="A863" s="746" t="s">
        <v>1990</v>
      </c>
      <c r="B863" s="747"/>
      <c r="C863" s="714" t="s">
        <v>2001</v>
      </c>
      <c r="D863" s="714">
        <v>7</v>
      </c>
      <c r="E863" s="714" t="s">
        <v>2002</v>
      </c>
      <c r="F863" s="1045"/>
      <c r="G863" s="1048"/>
      <c r="H863" s="1100"/>
      <c r="I863" s="717">
        <f>K863/100*60</f>
        <v>1800</v>
      </c>
      <c r="J863" s="717">
        <f>K863/100*40</f>
        <v>1200</v>
      </c>
      <c r="K863" s="717">
        <v>3000</v>
      </c>
    </row>
    <row r="864" spans="1:11" ht="102.75" hidden="1" customHeight="1">
      <c r="A864" s="1021" t="s">
        <v>1484</v>
      </c>
      <c r="B864" s="1021"/>
      <c r="C864" s="1021"/>
      <c r="D864" s="1021"/>
      <c r="E864" s="1021"/>
      <c r="F864" s="1021"/>
      <c r="G864" s="1021"/>
      <c r="H864" s="1021"/>
      <c r="I864" s="1021"/>
      <c r="J864" s="1021"/>
      <c r="K864" s="1021"/>
    </row>
    <row r="865" spans="1:11" s="743" customFormat="1" ht="36.75" hidden="1" customHeight="1">
      <c r="A865" s="1135"/>
      <c r="B865" s="1136"/>
      <c r="C865" s="738"/>
      <c r="D865" s="738"/>
      <c r="E865" s="739"/>
      <c r="F865" s="740"/>
      <c r="G865" s="741"/>
      <c r="H865" s="741"/>
      <c r="I865" s="742"/>
      <c r="J865" s="742"/>
      <c r="K865" s="742"/>
    </row>
    <row r="866" spans="1:11" ht="66" hidden="1" customHeight="1">
      <c r="A866" s="1031" t="s">
        <v>37</v>
      </c>
      <c r="B866" s="1033"/>
      <c r="C866" s="1037" t="s">
        <v>178</v>
      </c>
      <c r="D866" s="1037" t="s">
        <v>179</v>
      </c>
      <c r="E866" s="1037" t="s">
        <v>1521</v>
      </c>
      <c r="F866" s="1037" t="s">
        <v>14</v>
      </c>
      <c r="G866" s="1037" t="s">
        <v>1515</v>
      </c>
      <c r="H866" s="1037" t="s">
        <v>16</v>
      </c>
      <c r="I866" s="1039" t="s">
        <v>1490</v>
      </c>
      <c r="J866" s="1039" t="s">
        <v>2203</v>
      </c>
      <c r="K866" s="1037" t="s">
        <v>200</v>
      </c>
    </row>
    <row r="867" spans="1:11" s="500" customFormat="1" ht="30" hidden="1">
      <c r="A867" s="1034"/>
      <c r="B867" s="1036"/>
      <c r="C867" s="1038"/>
      <c r="D867" s="1038"/>
      <c r="E867" s="1038"/>
      <c r="F867" s="1038"/>
      <c r="G867" s="1038"/>
      <c r="H867" s="1038"/>
      <c r="I867" s="1039"/>
      <c r="J867" s="1039"/>
      <c r="K867" s="1038"/>
    </row>
    <row r="868" spans="1:11" s="500" customFormat="1" ht="74.25" hidden="1" customHeight="1">
      <c r="A868" s="1102" t="s">
        <v>2210</v>
      </c>
      <c r="B868" s="1103"/>
      <c r="C868" s="729"/>
      <c r="D868" s="729"/>
      <c r="E868" s="726"/>
      <c r="F868" s="727"/>
      <c r="G868" s="728"/>
      <c r="H868" s="728"/>
      <c r="I868" s="642">
        <f>I869+I873</f>
        <v>36599.4</v>
      </c>
      <c r="J868" s="642">
        <f>J869+J873</f>
        <v>24399.599999999999</v>
      </c>
      <c r="K868" s="642">
        <f>I868+J868</f>
        <v>60999</v>
      </c>
    </row>
    <row r="869" spans="1:11" ht="75" hidden="1" customHeight="1">
      <c r="A869" s="1011" t="s">
        <v>1541</v>
      </c>
      <c r="B869" s="1013"/>
      <c r="C869" s="709"/>
      <c r="D869" s="709"/>
      <c r="E869" s="709"/>
      <c r="F869" s="708"/>
      <c r="G869" s="709"/>
      <c r="H869" s="710"/>
      <c r="I869" s="545">
        <f>SUM(I870:I872)</f>
        <v>34200</v>
      </c>
      <c r="J869" s="545">
        <f>SUM(J870:J872)</f>
        <v>22800</v>
      </c>
      <c r="K869" s="545">
        <f>I869+J869</f>
        <v>57000</v>
      </c>
    </row>
    <row r="870" spans="1:11" s="510" customFormat="1" ht="75" hidden="1" customHeight="1">
      <c r="A870" s="1020" t="s">
        <v>2208</v>
      </c>
      <c r="B870" s="1022"/>
      <c r="C870" s="714" t="s">
        <v>1544</v>
      </c>
      <c r="D870" s="714"/>
      <c r="E870" s="714" t="s">
        <v>1544</v>
      </c>
      <c r="F870" s="781" t="s">
        <v>2246</v>
      </c>
      <c r="G870" s="1047">
        <v>8100</v>
      </c>
      <c r="H870" s="1099" t="s">
        <v>2273</v>
      </c>
      <c r="I870" s="717">
        <f>K870/100*60</f>
        <v>9000</v>
      </c>
      <c r="J870" s="717">
        <f>K870/100*40</f>
        <v>6000</v>
      </c>
      <c r="K870" s="717">
        <v>15000</v>
      </c>
    </row>
    <row r="871" spans="1:11" s="510" customFormat="1" ht="74.25" hidden="1" customHeight="1">
      <c r="A871" s="1020" t="s">
        <v>1546</v>
      </c>
      <c r="B871" s="1022"/>
      <c r="C871" s="714" t="s">
        <v>1544</v>
      </c>
      <c r="D871" s="714"/>
      <c r="E871" s="714" t="s">
        <v>1544</v>
      </c>
      <c r="F871" s="781" t="s">
        <v>2247</v>
      </c>
      <c r="G871" s="1048"/>
      <c r="H871" s="1100"/>
      <c r="I871" s="717">
        <f>K871/100*60</f>
        <v>10200</v>
      </c>
      <c r="J871" s="717">
        <f>K871/100*40</f>
        <v>6800</v>
      </c>
      <c r="K871" s="717">
        <v>17000</v>
      </c>
    </row>
    <row r="872" spans="1:11" s="510" customFormat="1" ht="74.25" hidden="1" customHeight="1">
      <c r="A872" s="1020" t="s">
        <v>2209</v>
      </c>
      <c r="B872" s="1022"/>
      <c r="C872" s="714" t="s">
        <v>1544</v>
      </c>
      <c r="D872" s="714"/>
      <c r="E872" s="714" t="s">
        <v>1544</v>
      </c>
      <c r="F872" s="781" t="s">
        <v>2248</v>
      </c>
      <c r="G872" s="1048"/>
      <c r="H872" s="1100"/>
      <c r="I872" s="717">
        <f>K872/100*60</f>
        <v>15000</v>
      </c>
      <c r="J872" s="717">
        <f>K872/100*40</f>
        <v>10000</v>
      </c>
      <c r="K872" s="717">
        <v>25000</v>
      </c>
    </row>
    <row r="873" spans="1:11" ht="73.5" hidden="1" customHeight="1">
      <c r="A873" s="1011" t="s">
        <v>312</v>
      </c>
      <c r="B873" s="1013"/>
      <c r="C873" s="709"/>
      <c r="D873" s="709"/>
      <c r="E873" s="709"/>
      <c r="F873" s="708"/>
      <c r="G873" s="709"/>
      <c r="H873" s="710"/>
      <c r="I873" s="545">
        <f>SUM(I874:I874)</f>
        <v>2399.4</v>
      </c>
      <c r="J873" s="545">
        <f>SUM(J874:J874)</f>
        <v>1599.6000000000001</v>
      </c>
      <c r="K873" s="545">
        <f>I873+J873</f>
        <v>3999</v>
      </c>
    </row>
    <row r="874" spans="1:11" s="510" customFormat="1" ht="74.25" hidden="1" customHeight="1">
      <c r="A874" s="1020" t="s">
        <v>2211</v>
      </c>
      <c r="B874" s="1022"/>
      <c r="C874" s="714" t="s">
        <v>1544</v>
      </c>
      <c r="D874" s="714"/>
      <c r="E874" s="714" t="s">
        <v>1544</v>
      </c>
      <c r="F874" s="777" t="s">
        <v>2225</v>
      </c>
      <c r="G874" s="711">
        <v>8100</v>
      </c>
      <c r="H874" s="783" t="s">
        <v>2273</v>
      </c>
      <c r="I874" s="717">
        <f>K874/100*60</f>
        <v>2399.4</v>
      </c>
      <c r="J874" s="717">
        <f>K874/100*40</f>
        <v>1599.6000000000001</v>
      </c>
      <c r="K874" s="717">
        <v>3999</v>
      </c>
    </row>
    <row r="875" spans="1:11" ht="54.75" hidden="1" customHeight="1">
      <c r="A875" s="528"/>
      <c r="B875" s="529"/>
      <c r="C875" s="529"/>
      <c r="D875" s="530"/>
      <c r="E875" s="531"/>
      <c r="F875" s="532"/>
      <c r="G875" s="533"/>
      <c r="H875" s="534"/>
      <c r="I875" s="535"/>
      <c r="J875" s="535"/>
      <c r="K875" s="535"/>
    </row>
    <row r="876" spans="1:11" ht="54.75" hidden="1" customHeight="1">
      <c r="A876" s="528"/>
      <c r="B876" s="529"/>
      <c r="C876" s="529"/>
      <c r="D876" s="530"/>
      <c r="E876" s="531"/>
      <c r="F876" s="532"/>
      <c r="G876" s="533"/>
      <c r="H876" s="649"/>
      <c r="I876" s="535"/>
      <c r="J876" s="535"/>
      <c r="K876" s="535"/>
    </row>
    <row r="877" spans="1:11" ht="34.5" hidden="1" customHeight="1">
      <c r="A877" s="1128" t="s">
        <v>51</v>
      </c>
      <c r="B877" s="1128"/>
      <c r="C877" s="1128"/>
      <c r="D877" s="1128"/>
      <c r="E877" s="1128"/>
      <c r="F877" s="1128"/>
      <c r="G877" s="1128"/>
      <c r="H877" s="1128"/>
      <c r="I877" s="1128"/>
      <c r="J877" s="1128"/>
      <c r="K877" s="1128"/>
    </row>
    <row r="878" spans="1:11" ht="30.75" hidden="1" customHeight="1">
      <c r="A878" s="1128" t="s">
        <v>52</v>
      </c>
      <c r="B878" s="1128"/>
      <c r="C878" s="1128"/>
      <c r="D878" s="1128"/>
      <c r="E878" s="1128"/>
      <c r="F878" s="1128"/>
      <c r="G878" s="1128"/>
      <c r="H878" s="1128"/>
      <c r="I878" s="1128"/>
      <c r="J878" s="1128"/>
      <c r="K878" s="1128"/>
    </row>
    <row r="879" spans="1:11" ht="33" hidden="1" customHeight="1">
      <c r="A879" s="1132" t="s">
        <v>50</v>
      </c>
      <c r="B879" s="1132"/>
      <c r="C879" s="1132"/>
      <c r="D879" s="1132"/>
      <c r="E879" s="1132"/>
      <c r="F879" s="1132"/>
      <c r="G879" s="1132"/>
      <c r="H879" s="1132"/>
      <c r="I879" s="1132"/>
      <c r="J879" s="1132"/>
      <c r="K879" s="1132"/>
    </row>
    <row r="880" spans="1:11" ht="33" hidden="1" customHeight="1">
      <c r="A880" s="154"/>
      <c r="B880" s="154"/>
      <c r="C880" s="154"/>
      <c r="D880" s="154"/>
      <c r="E880" s="154"/>
      <c r="F880" s="154"/>
      <c r="G880" s="707"/>
      <c r="H880" s="707"/>
      <c r="I880" s="707"/>
      <c r="J880" s="707"/>
      <c r="K880" s="707"/>
    </row>
    <row r="881" spans="1:11" ht="35.25" hidden="1">
      <c r="A881" s="1128" t="s">
        <v>1336</v>
      </c>
      <c r="B881" s="1128"/>
      <c r="C881" s="1128"/>
      <c r="D881" s="1128"/>
      <c r="E881" s="1128"/>
      <c r="F881" s="1128"/>
      <c r="G881" s="1128"/>
      <c r="H881" s="1128"/>
      <c r="I881" s="1128"/>
      <c r="J881" s="1128"/>
      <c r="K881" s="1128"/>
    </row>
    <row r="882" spans="1:11" s="620" customFormat="1" ht="33" hidden="1">
      <c r="A882" s="65"/>
      <c r="B882" s="65"/>
      <c r="C882" s="65"/>
      <c r="D882" s="65"/>
      <c r="E882" s="65"/>
      <c r="F882" s="65"/>
      <c r="G882" s="68"/>
      <c r="H882" s="68"/>
      <c r="I882" s="68"/>
      <c r="J882" s="68"/>
      <c r="K882" s="68"/>
    </row>
    <row r="883" spans="1:11" ht="20.100000000000001" hidden="1" customHeight="1">
      <c r="A883" s="65"/>
      <c r="B883" s="65"/>
      <c r="C883" s="65"/>
      <c r="D883" s="65"/>
      <c r="E883" s="65"/>
      <c r="F883" s="65"/>
      <c r="G883" s="68"/>
      <c r="H883" s="68"/>
      <c r="I883" s="68"/>
      <c r="J883" s="68"/>
      <c r="K883" s="68"/>
    </row>
    <row r="884" spans="1:11" ht="20.100000000000001" hidden="1" customHeight="1">
      <c r="A884" s="979"/>
      <c r="B884" s="979"/>
      <c r="C884" s="979"/>
      <c r="D884" s="979"/>
      <c r="E884" s="979"/>
      <c r="F884" s="979"/>
      <c r="G884" s="979"/>
      <c r="H884" s="979"/>
      <c r="I884" s="979"/>
      <c r="J884" s="979"/>
      <c r="K884" s="979"/>
    </row>
    <row r="885" spans="1:11" ht="45.75" hidden="1" customHeight="1">
      <c r="A885" s="1030" t="s">
        <v>1383</v>
      </c>
      <c r="B885" s="1030"/>
      <c r="C885" s="1030"/>
      <c r="D885" s="1030"/>
      <c r="E885" s="1030"/>
      <c r="F885" s="1030"/>
      <c r="G885" s="1030"/>
      <c r="H885" s="1030"/>
      <c r="I885" s="1030"/>
      <c r="J885" s="1030"/>
      <c r="K885" s="1030"/>
    </row>
    <row r="886" spans="1:11" ht="66" hidden="1" customHeight="1">
      <c r="A886" s="1031" t="s">
        <v>37</v>
      </c>
      <c r="B886" s="1033"/>
      <c r="C886" s="1037" t="s">
        <v>178</v>
      </c>
      <c r="D886" s="1037" t="s">
        <v>179</v>
      </c>
      <c r="E886" s="1037" t="s">
        <v>1521</v>
      </c>
      <c r="F886" s="1037" t="s">
        <v>14</v>
      </c>
      <c r="G886" s="1037" t="s">
        <v>1515</v>
      </c>
      <c r="H886" s="1037" t="s">
        <v>16</v>
      </c>
      <c r="I886" s="1039" t="s">
        <v>1490</v>
      </c>
      <c r="J886" s="1039" t="s">
        <v>2203</v>
      </c>
      <c r="K886" s="1037" t="s">
        <v>200</v>
      </c>
    </row>
    <row r="887" spans="1:11" s="500" customFormat="1" ht="30" hidden="1">
      <c r="A887" s="1034"/>
      <c r="B887" s="1036"/>
      <c r="C887" s="1038"/>
      <c r="D887" s="1038"/>
      <c r="E887" s="1038"/>
      <c r="F887" s="1038"/>
      <c r="G887" s="1038"/>
      <c r="H887" s="1038"/>
      <c r="I887" s="1039"/>
      <c r="J887" s="1039"/>
      <c r="K887" s="1038"/>
    </row>
    <row r="888" spans="1:11" s="500" customFormat="1" ht="74.25" hidden="1" customHeight="1">
      <c r="A888" s="1102" t="s">
        <v>2116</v>
      </c>
      <c r="B888" s="1103"/>
      <c r="C888" s="729"/>
      <c r="D888" s="729"/>
      <c r="E888" s="726"/>
      <c r="F888" s="727"/>
      <c r="G888" s="728"/>
      <c r="H888" s="728"/>
      <c r="I888" s="642">
        <f>I889+I898+I896</f>
        <v>40920</v>
      </c>
      <c r="J888" s="642">
        <f>J889+J898+J896</f>
        <v>27280</v>
      </c>
      <c r="K888" s="642">
        <f>I888+J888</f>
        <v>68200</v>
      </c>
    </row>
    <row r="889" spans="1:11" ht="75" hidden="1" customHeight="1">
      <c r="A889" s="1011" t="s">
        <v>1541</v>
      </c>
      <c r="B889" s="1013"/>
      <c r="C889" s="709"/>
      <c r="D889" s="709"/>
      <c r="E889" s="709"/>
      <c r="F889" s="708"/>
      <c r="G889" s="709"/>
      <c r="H889" s="710"/>
      <c r="I889" s="545">
        <f>SUM(I890:I895)</f>
        <v>32050.799999999999</v>
      </c>
      <c r="J889" s="545">
        <f>SUM(J890:J895)</f>
        <v>21367.200000000001</v>
      </c>
      <c r="K889" s="545">
        <f>I889+J889</f>
        <v>53418</v>
      </c>
    </row>
    <row r="890" spans="1:11" s="510" customFormat="1" ht="74.25" hidden="1" customHeight="1">
      <c r="A890" s="1020" t="s">
        <v>2117</v>
      </c>
      <c r="B890" s="1022"/>
      <c r="C890" s="714" t="s">
        <v>2126</v>
      </c>
      <c r="D890" s="714">
        <v>2</v>
      </c>
      <c r="E890" s="714" t="s">
        <v>2132</v>
      </c>
      <c r="F890" s="1044" t="s">
        <v>2229</v>
      </c>
      <c r="G890" s="1047">
        <v>8100</v>
      </c>
      <c r="H890" s="1099" t="s">
        <v>2273</v>
      </c>
      <c r="I890" s="717">
        <f t="shared" ref="I890:I895" si="33">K890/100*60</f>
        <v>6000</v>
      </c>
      <c r="J890" s="717">
        <f t="shared" ref="J890:J895" si="34">K890/100*40</f>
        <v>4000</v>
      </c>
      <c r="K890" s="717">
        <v>10000</v>
      </c>
    </row>
    <row r="891" spans="1:11" s="510" customFormat="1" ht="75" hidden="1" customHeight="1">
      <c r="A891" s="1020" t="s">
        <v>2118</v>
      </c>
      <c r="B891" s="1022"/>
      <c r="C891" s="714" t="s">
        <v>2127</v>
      </c>
      <c r="D891" s="714">
        <v>40</v>
      </c>
      <c r="E891" s="714" t="s">
        <v>2133</v>
      </c>
      <c r="F891" s="1045"/>
      <c r="G891" s="1048"/>
      <c r="H891" s="1100"/>
      <c r="I891" s="717">
        <f t="shared" si="33"/>
        <v>6000</v>
      </c>
      <c r="J891" s="717">
        <f t="shared" si="34"/>
        <v>4000</v>
      </c>
      <c r="K891" s="717">
        <v>10000</v>
      </c>
    </row>
    <row r="892" spans="1:11" s="510" customFormat="1" ht="75" hidden="1" customHeight="1">
      <c r="A892" s="1020" t="s">
        <v>2119</v>
      </c>
      <c r="B892" s="1022"/>
      <c r="C892" s="714" t="s">
        <v>2128</v>
      </c>
      <c r="D892" s="714">
        <v>60</v>
      </c>
      <c r="E892" s="714" t="s">
        <v>2132</v>
      </c>
      <c r="F892" s="781" t="s">
        <v>2230</v>
      </c>
      <c r="G892" s="1048"/>
      <c r="H892" s="1100"/>
      <c r="I892" s="717">
        <f t="shared" si="33"/>
        <v>8050.8</v>
      </c>
      <c r="J892" s="717">
        <f t="shared" si="34"/>
        <v>5367.2000000000007</v>
      </c>
      <c r="K892" s="717">
        <v>13418</v>
      </c>
    </row>
    <row r="893" spans="1:11" s="510" customFormat="1" ht="75" hidden="1" customHeight="1">
      <c r="A893" s="1020" t="s">
        <v>2120</v>
      </c>
      <c r="B893" s="1022"/>
      <c r="C893" s="714" t="s">
        <v>1934</v>
      </c>
      <c r="D893" s="714">
        <v>10</v>
      </c>
      <c r="E893" s="714" t="s">
        <v>2134</v>
      </c>
      <c r="F893" s="1044" t="s">
        <v>2231</v>
      </c>
      <c r="G893" s="1048"/>
      <c r="H893" s="1100"/>
      <c r="I893" s="717">
        <f t="shared" si="33"/>
        <v>6000</v>
      </c>
      <c r="J893" s="717">
        <f t="shared" si="34"/>
        <v>4000</v>
      </c>
      <c r="K893" s="717">
        <v>10000</v>
      </c>
    </row>
    <row r="894" spans="1:11" s="510" customFormat="1" ht="75" hidden="1" customHeight="1">
      <c r="A894" s="1020" t="s">
        <v>2121</v>
      </c>
      <c r="B894" s="1022"/>
      <c r="C894" s="714" t="s">
        <v>2129</v>
      </c>
      <c r="D894" s="714">
        <v>5</v>
      </c>
      <c r="E894" s="714" t="s">
        <v>2132</v>
      </c>
      <c r="F894" s="1045"/>
      <c r="G894" s="1048"/>
      <c r="H894" s="1100"/>
      <c r="I894" s="717">
        <f t="shared" si="33"/>
        <v>3000</v>
      </c>
      <c r="J894" s="717">
        <f t="shared" si="34"/>
        <v>2000</v>
      </c>
      <c r="K894" s="717">
        <v>5000</v>
      </c>
    </row>
    <row r="895" spans="1:11" s="510" customFormat="1" ht="75" hidden="1" customHeight="1">
      <c r="A895" s="1020" t="s">
        <v>2122</v>
      </c>
      <c r="B895" s="1022"/>
      <c r="C895" s="714" t="s">
        <v>2130</v>
      </c>
      <c r="D895" s="714">
        <v>10</v>
      </c>
      <c r="E895" s="714" t="s">
        <v>2134</v>
      </c>
      <c r="F895" s="1046"/>
      <c r="G895" s="1049"/>
      <c r="H895" s="1101"/>
      <c r="I895" s="717">
        <f t="shared" si="33"/>
        <v>3000</v>
      </c>
      <c r="J895" s="717">
        <f t="shared" si="34"/>
        <v>2000</v>
      </c>
      <c r="K895" s="717">
        <v>5000</v>
      </c>
    </row>
    <row r="896" spans="1:11" ht="74.25" hidden="1" customHeight="1">
      <c r="A896" s="1011" t="s">
        <v>278</v>
      </c>
      <c r="B896" s="1013"/>
      <c r="C896" s="504"/>
      <c r="D896" s="709"/>
      <c r="E896" s="709"/>
      <c r="F896" s="708"/>
      <c r="G896" s="709"/>
      <c r="H896" s="710"/>
      <c r="I896" s="545">
        <f>SUM(I897)</f>
        <v>2869.2</v>
      </c>
      <c r="J896" s="545">
        <f>SUM(J897)</f>
        <v>1912.8</v>
      </c>
      <c r="K896" s="545">
        <f>I896+J896</f>
        <v>4782</v>
      </c>
    </row>
    <row r="897" spans="1:11" s="510" customFormat="1" ht="74.25" hidden="1" customHeight="1">
      <c r="A897" s="1020" t="s">
        <v>2004</v>
      </c>
      <c r="B897" s="1022"/>
      <c r="C897" s="714" t="s">
        <v>1215</v>
      </c>
      <c r="D897" s="714">
        <v>8</v>
      </c>
      <c r="E897" s="725" t="s">
        <v>2125</v>
      </c>
      <c r="F897" s="777" t="s">
        <v>2234</v>
      </c>
      <c r="G897" s="711">
        <v>8100</v>
      </c>
      <c r="H897" s="794" t="s">
        <v>2445</v>
      </c>
      <c r="I897" s="717">
        <f>K897/100*60</f>
        <v>2869.2</v>
      </c>
      <c r="J897" s="717">
        <f>K897/100*40</f>
        <v>1912.8</v>
      </c>
      <c r="K897" s="717">
        <v>4782</v>
      </c>
    </row>
    <row r="898" spans="1:11" ht="73.5" hidden="1" customHeight="1">
      <c r="A898" s="1011" t="s">
        <v>312</v>
      </c>
      <c r="B898" s="1013"/>
      <c r="C898" s="709"/>
      <c r="D898" s="709"/>
      <c r="E898" s="709"/>
      <c r="F898" s="708"/>
      <c r="G898" s="709"/>
      <c r="H898" s="710"/>
      <c r="I898" s="545">
        <f>SUM(I899:I900)</f>
        <v>6000</v>
      </c>
      <c r="J898" s="545">
        <f>SUM(J899:J900)</f>
        <v>4000</v>
      </c>
      <c r="K898" s="545">
        <f>I898+J898</f>
        <v>10000</v>
      </c>
    </row>
    <row r="899" spans="1:11" s="510" customFormat="1" ht="74.25" hidden="1" customHeight="1">
      <c r="A899" s="1020" t="s">
        <v>2123</v>
      </c>
      <c r="B899" s="1022"/>
      <c r="C899" s="714" t="s">
        <v>2131</v>
      </c>
      <c r="D899" s="714">
        <v>3</v>
      </c>
      <c r="E899" s="714" t="s">
        <v>2135</v>
      </c>
      <c r="F899" s="1044" t="s">
        <v>2224</v>
      </c>
      <c r="G899" s="1047">
        <v>8100</v>
      </c>
      <c r="H899" s="1099" t="s">
        <v>2273</v>
      </c>
      <c r="I899" s="717">
        <f>K899/100*60</f>
        <v>3000</v>
      </c>
      <c r="J899" s="717">
        <f>K899/100*40</f>
        <v>2000</v>
      </c>
      <c r="K899" s="717">
        <v>5000</v>
      </c>
    </row>
    <row r="900" spans="1:11" s="510" customFormat="1" ht="74.25" hidden="1" customHeight="1">
      <c r="A900" s="1020" t="s">
        <v>2124</v>
      </c>
      <c r="B900" s="1022"/>
      <c r="C900" s="714" t="s">
        <v>2131</v>
      </c>
      <c r="D900" s="714">
        <v>3</v>
      </c>
      <c r="E900" s="714" t="s">
        <v>2136</v>
      </c>
      <c r="F900" s="1046"/>
      <c r="G900" s="1049"/>
      <c r="H900" s="1101"/>
      <c r="I900" s="717">
        <f>K900/100*60</f>
        <v>3000</v>
      </c>
      <c r="J900" s="717">
        <f>K900/100*40</f>
        <v>2000</v>
      </c>
      <c r="K900" s="717">
        <v>5000</v>
      </c>
    </row>
    <row r="901" spans="1:11" s="743" customFormat="1" ht="36.75" hidden="1" customHeight="1">
      <c r="A901" s="1135"/>
      <c r="B901" s="1136"/>
      <c r="C901" s="738"/>
      <c r="D901" s="738"/>
      <c r="E901" s="739"/>
      <c r="F901" s="740"/>
      <c r="G901" s="741"/>
      <c r="H901" s="741"/>
      <c r="I901" s="742"/>
      <c r="J901" s="742"/>
      <c r="K901" s="742"/>
    </row>
    <row r="902" spans="1:11" ht="66" hidden="1" customHeight="1">
      <c r="A902" s="1031" t="s">
        <v>37</v>
      </c>
      <c r="B902" s="1033"/>
      <c r="C902" s="1037" t="s">
        <v>178</v>
      </c>
      <c r="D902" s="1037" t="s">
        <v>179</v>
      </c>
      <c r="E902" s="1037" t="s">
        <v>1521</v>
      </c>
      <c r="F902" s="1037" t="s">
        <v>14</v>
      </c>
      <c r="G902" s="1037" t="s">
        <v>1515</v>
      </c>
      <c r="H902" s="1037" t="s">
        <v>16</v>
      </c>
      <c r="I902" s="1039" t="s">
        <v>1490</v>
      </c>
      <c r="J902" s="1039" t="s">
        <v>2203</v>
      </c>
      <c r="K902" s="1037" t="s">
        <v>200</v>
      </c>
    </row>
    <row r="903" spans="1:11" s="500" customFormat="1" ht="30" hidden="1">
      <c r="A903" s="1034"/>
      <c r="B903" s="1036"/>
      <c r="C903" s="1038"/>
      <c r="D903" s="1038"/>
      <c r="E903" s="1038"/>
      <c r="F903" s="1038"/>
      <c r="G903" s="1038"/>
      <c r="H903" s="1038"/>
      <c r="I903" s="1039"/>
      <c r="J903" s="1039"/>
      <c r="K903" s="1038"/>
    </row>
    <row r="904" spans="1:11" s="500" customFormat="1" ht="74.25" hidden="1" customHeight="1">
      <c r="A904" s="1102" t="s">
        <v>2191</v>
      </c>
      <c r="B904" s="1103"/>
      <c r="C904" s="729"/>
      <c r="D904" s="729"/>
      <c r="E904" s="726"/>
      <c r="F904" s="727"/>
      <c r="G904" s="728"/>
      <c r="H904" s="728"/>
      <c r="I904" s="642">
        <f>I905+I912+I910</f>
        <v>135962.4</v>
      </c>
      <c r="J904" s="642">
        <f>J905+J912+J910</f>
        <v>90641.600000000006</v>
      </c>
      <c r="K904" s="642">
        <f>I904+J904</f>
        <v>226604</v>
      </c>
    </row>
    <row r="905" spans="1:11" ht="75" hidden="1" customHeight="1">
      <c r="A905" s="1011" t="s">
        <v>1541</v>
      </c>
      <c r="B905" s="1013"/>
      <c r="C905" s="709"/>
      <c r="D905" s="709"/>
      <c r="E905" s="709"/>
      <c r="F905" s="708"/>
      <c r="G905" s="709"/>
      <c r="H905" s="710"/>
      <c r="I905" s="545">
        <f>SUM(I906:I909)</f>
        <v>110462.39999999999</v>
      </c>
      <c r="J905" s="545">
        <f>SUM(J906:J909)</f>
        <v>73641.600000000006</v>
      </c>
      <c r="K905" s="545">
        <f>I905+J905</f>
        <v>184104</v>
      </c>
    </row>
    <row r="906" spans="1:11" s="510" customFormat="1" ht="75" hidden="1" customHeight="1">
      <c r="A906" s="1020" t="s">
        <v>2193</v>
      </c>
      <c r="B906" s="1022"/>
      <c r="C906" s="714" t="s">
        <v>1544</v>
      </c>
      <c r="D906" s="714"/>
      <c r="E906" s="714" t="s">
        <v>1544</v>
      </c>
      <c r="F906" s="781" t="s">
        <v>2229</v>
      </c>
      <c r="G906" s="1047">
        <v>8100</v>
      </c>
      <c r="H906" s="1099" t="s">
        <v>2273</v>
      </c>
      <c r="I906" s="717">
        <f>K906/100*60</f>
        <v>88262.399999999994</v>
      </c>
      <c r="J906" s="717">
        <f>K906/100*40</f>
        <v>58841.599999999999</v>
      </c>
      <c r="K906" s="717">
        <v>147104</v>
      </c>
    </row>
    <row r="907" spans="1:11" s="510" customFormat="1" ht="75" hidden="1" customHeight="1">
      <c r="A907" s="1020" t="s">
        <v>2192</v>
      </c>
      <c r="B907" s="1022"/>
      <c r="C907" s="714" t="s">
        <v>147</v>
      </c>
      <c r="D907" s="714">
        <v>1</v>
      </c>
      <c r="E907" s="714" t="s">
        <v>2198</v>
      </c>
      <c r="F907" s="780" t="s">
        <v>2236</v>
      </c>
      <c r="G907" s="1048"/>
      <c r="H907" s="1100"/>
      <c r="I907" s="717">
        <f>K907/100*60</f>
        <v>9000</v>
      </c>
      <c r="J907" s="717">
        <f>K907/100*40</f>
        <v>6000</v>
      </c>
      <c r="K907" s="717">
        <v>15000</v>
      </c>
    </row>
    <row r="908" spans="1:11" s="510" customFormat="1" ht="74.25" hidden="1" customHeight="1">
      <c r="A908" s="1020" t="s">
        <v>2194</v>
      </c>
      <c r="B908" s="1022"/>
      <c r="C908" s="714" t="s">
        <v>1934</v>
      </c>
      <c r="D908" s="714">
        <v>35</v>
      </c>
      <c r="E908" s="714" t="s">
        <v>2199</v>
      </c>
      <c r="F908" s="1044" t="s">
        <v>2231</v>
      </c>
      <c r="G908" s="1048"/>
      <c r="H908" s="1100"/>
      <c r="I908" s="717">
        <f>K908/100*60</f>
        <v>10200</v>
      </c>
      <c r="J908" s="717">
        <f>K908/100*40</f>
        <v>6800</v>
      </c>
      <c r="K908" s="717">
        <v>17000</v>
      </c>
    </row>
    <row r="909" spans="1:11" s="510" customFormat="1" ht="75" hidden="1" customHeight="1">
      <c r="A909" s="1020" t="s">
        <v>2195</v>
      </c>
      <c r="B909" s="1022"/>
      <c r="C909" s="714" t="s">
        <v>2200</v>
      </c>
      <c r="D909" s="714">
        <v>22</v>
      </c>
      <c r="E909" s="714" t="s">
        <v>2199</v>
      </c>
      <c r="F909" s="1046"/>
      <c r="G909" s="1048"/>
      <c r="H909" s="1100"/>
      <c r="I909" s="717">
        <f>K909/100*60</f>
        <v>3000</v>
      </c>
      <c r="J909" s="717">
        <f>K909/100*40</f>
        <v>2000</v>
      </c>
      <c r="K909" s="717">
        <v>5000</v>
      </c>
    </row>
    <row r="910" spans="1:11" ht="74.25" hidden="1" customHeight="1">
      <c r="A910" s="1011" t="s">
        <v>278</v>
      </c>
      <c r="B910" s="1013"/>
      <c r="C910" s="504"/>
      <c r="D910" s="709"/>
      <c r="E910" s="709"/>
      <c r="F910" s="708"/>
      <c r="G910" s="709"/>
      <c r="H910" s="710"/>
      <c r="I910" s="545">
        <f>SUM(I911)</f>
        <v>12000</v>
      </c>
      <c r="J910" s="545">
        <f>SUM(J911)</f>
        <v>8000</v>
      </c>
      <c r="K910" s="545">
        <f>I910+J910</f>
        <v>20000</v>
      </c>
    </row>
    <row r="911" spans="1:11" s="510" customFormat="1" ht="74.25" hidden="1" customHeight="1">
      <c r="A911" s="1020" t="s">
        <v>2004</v>
      </c>
      <c r="B911" s="1022"/>
      <c r="C911" s="714" t="s">
        <v>1215</v>
      </c>
      <c r="D911" s="714">
        <v>5</v>
      </c>
      <c r="E911" s="725" t="s">
        <v>2201</v>
      </c>
      <c r="F911" s="777" t="s">
        <v>2234</v>
      </c>
      <c r="G911" s="711">
        <v>8100</v>
      </c>
      <c r="H911" s="794" t="s">
        <v>2445</v>
      </c>
      <c r="I911" s="717">
        <f>K911/100*60</f>
        <v>12000</v>
      </c>
      <c r="J911" s="717">
        <f>K911/100*40</f>
        <v>8000</v>
      </c>
      <c r="K911" s="717">
        <v>20000</v>
      </c>
    </row>
    <row r="912" spans="1:11" ht="73.5" hidden="1" customHeight="1">
      <c r="A912" s="1011" t="s">
        <v>312</v>
      </c>
      <c r="B912" s="1013"/>
      <c r="C912" s="709"/>
      <c r="D912" s="709"/>
      <c r="E912" s="709"/>
      <c r="F912" s="708"/>
      <c r="G912" s="709"/>
      <c r="H912" s="710"/>
      <c r="I912" s="545">
        <f>SUM(I913:I914)</f>
        <v>13500</v>
      </c>
      <c r="J912" s="545">
        <f>SUM(J913:J914)</f>
        <v>9000</v>
      </c>
      <c r="K912" s="545">
        <f>I912+J912</f>
        <v>22500</v>
      </c>
    </row>
    <row r="913" spans="1:11" s="510" customFormat="1" ht="74.25" hidden="1" customHeight="1">
      <c r="A913" s="1020" t="s">
        <v>2197</v>
      </c>
      <c r="B913" s="1022"/>
      <c r="C913" s="714" t="s">
        <v>1544</v>
      </c>
      <c r="D913" s="714"/>
      <c r="E913" s="714" t="s">
        <v>1544</v>
      </c>
      <c r="F913" s="1044" t="s">
        <v>2224</v>
      </c>
      <c r="G913" s="1047">
        <v>8100</v>
      </c>
      <c r="H913" s="1099" t="s">
        <v>2273</v>
      </c>
      <c r="I913" s="717">
        <f>K913/100*60</f>
        <v>10500</v>
      </c>
      <c r="J913" s="717">
        <f>K913/100*40</f>
        <v>7000</v>
      </c>
      <c r="K913" s="717">
        <v>17500</v>
      </c>
    </row>
    <row r="914" spans="1:11" s="510" customFormat="1" ht="74.25" hidden="1" customHeight="1">
      <c r="A914" s="1020" t="s">
        <v>2196</v>
      </c>
      <c r="B914" s="1022"/>
      <c r="C914" s="714" t="s">
        <v>2202</v>
      </c>
      <c r="D914" s="714">
        <v>10</v>
      </c>
      <c r="E914" s="714" t="s">
        <v>2199</v>
      </c>
      <c r="F914" s="1046"/>
      <c r="G914" s="1049"/>
      <c r="H914" s="1101"/>
      <c r="I914" s="717">
        <f>K914/100*60</f>
        <v>3000</v>
      </c>
      <c r="J914" s="717">
        <f>K914/100*40</f>
        <v>2000</v>
      </c>
      <c r="K914" s="717">
        <v>5000</v>
      </c>
    </row>
    <row r="915" spans="1:11" ht="102" hidden="1" customHeight="1">
      <c r="A915" s="1141"/>
      <c r="B915" s="1141"/>
      <c r="C915" s="1141"/>
      <c r="D915" s="1141"/>
      <c r="E915" s="1141"/>
      <c r="F915" s="1141"/>
      <c r="G915" s="1141"/>
      <c r="H915" s="1141"/>
      <c r="I915" s="1141"/>
      <c r="J915" s="1141"/>
      <c r="K915" s="1141"/>
    </row>
    <row r="916" spans="1:11" ht="102" hidden="1" customHeight="1">
      <c r="A916" s="753"/>
      <c r="B916" s="753"/>
      <c r="C916" s="753"/>
      <c r="D916" s="753"/>
      <c r="E916" s="753"/>
      <c r="F916" s="753"/>
      <c r="G916" s="753"/>
      <c r="H916" s="753"/>
      <c r="I916" s="753"/>
      <c r="J916" s="753"/>
      <c r="K916" s="753"/>
    </row>
    <row r="917" spans="1:11" ht="102" hidden="1" customHeight="1">
      <c r="A917" s="753"/>
      <c r="B917" s="753"/>
      <c r="C917" s="753"/>
      <c r="D917" s="753"/>
      <c r="E917" s="753"/>
      <c r="F917" s="753"/>
      <c r="G917" s="753"/>
      <c r="H917" s="753"/>
      <c r="I917" s="753"/>
      <c r="J917" s="753"/>
      <c r="K917" s="753"/>
    </row>
    <row r="918" spans="1:11" ht="102" hidden="1" customHeight="1">
      <c r="A918" s="753"/>
      <c r="B918" s="753"/>
      <c r="C918" s="753"/>
      <c r="D918" s="753"/>
      <c r="E918" s="753"/>
      <c r="F918" s="753"/>
      <c r="G918" s="753"/>
      <c r="H918" s="753"/>
      <c r="I918" s="753"/>
      <c r="J918" s="753"/>
      <c r="K918" s="753"/>
    </row>
    <row r="919" spans="1:11" ht="34.5" hidden="1" customHeight="1">
      <c r="A919" s="1128" t="s">
        <v>51</v>
      </c>
      <c r="B919" s="1128"/>
      <c r="C919" s="1128"/>
      <c r="D919" s="1128"/>
      <c r="E919" s="1128"/>
      <c r="F919" s="1128"/>
      <c r="G919" s="1128"/>
      <c r="H919" s="1128"/>
      <c r="I919" s="1128"/>
      <c r="J919" s="1128"/>
      <c r="K919" s="1128"/>
    </row>
    <row r="920" spans="1:11" ht="30.75" hidden="1" customHeight="1">
      <c r="A920" s="1128" t="s">
        <v>52</v>
      </c>
      <c r="B920" s="1128"/>
      <c r="C920" s="1128"/>
      <c r="D920" s="1128"/>
      <c r="E920" s="1128"/>
      <c r="F920" s="1128"/>
      <c r="G920" s="1128"/>
      <c r="H920" s="1128"/>
      <c r="I920" s="1128"/>
      <c r="J920" s="1128"/>
      <c r="K920" s="1128"/>
    </row>
    <row r="921" spans="1:11" ht="33" hidden="1" customHeight="1">
      <c r="A921" s="1132" t="s">
        <v>50</v>
      </c>
      <c r="B921" s="1132"/>
      <c r="C921" s="1132"/>
      <c r="D921" s="1132"/>
      <c r="E921" s="1132"/>
      <c r="F921" s="1132"/>
      <c r="G921" s="1132"/>
      <c r="H921" s="1132"/>
      <c r="I921" s="1132"/>
      <c r="J921" s="1132"/>
      <c r="K921" s="1132"/>
    </row>
    <row r="922" spans="1:11" ht="33" hidden="1" customHeight="1">
      <c r="A922" s="154"/>
      <c r="B922" s="154"/>
      <c r="C922" s="154"/>
      <c r="D922" s="154"/>
      <c r="E922" s="154"/>
      <c r="F922" s="154"/>
      <c r="G922" s="707"/>
      <c r="H922" s="707"/>
      <c r="I922" s="707"/>
      <c r="J922" s="707"/>
      <c r="K922" s="707"/>
    </row>
    <row r="923" spans="1:11" ht="35.25" hidden="1">
      <c r="A923" s="1128" t="s">
        <v>1336</v>
      </c>
      <c r="B923" s="1128"/>
      <c r="C923" s="1128"/>
      <c r="D923" s="1128"/>
      <c r="E923" s="1128"/>
      <c r="F923" s="1128"/>
      <c r="G923" s="1128"/>
      <c r="H923" s="1128"/>
      <c r="I923" s="1128"/>
      <c r="J923" s="1128"/>
      <c r="K923" s="1128"/>
    </row>
    <row r="924" spans="1:11" s="620" customFormat="1" ht="33" hidden="1">
      <c r="A924" s="65"/>
      <c r="B924" s="65"/>
      <c r="C924" s="65"/>
      <c r="D924" s="65"/>
      <c r="E924" s="65"/>
      <c r="F924" s="65"/>
      <c r="G924" s="68"/>
      <c r="H924" s="68"/>
      <c r="I924" s="68"/>
      <c r="J924" s="68"/>
      <c r="K924" s="68"/>
    </row>
    <row r="925" spans="1:11" ht="20.100000000000001" hidden="1" customHeight="1">
      <c r="A925" s="65"/>
      <c r="B925" s="65"/>
      <c r="C925" s="65"/>
      <c r="D925" s="65"/>
      <c r="E925" s="65"/>
      <c r="F925" s="65"/>
      <c r="G925" s="68"/>
      <c r="H925" s="68"/>
      <c r="I925" s="68"/>
      <c r="J925" s="68"/>
      <c r="K925" s="68"/>
    </row>
    <row r="926" spans="1:11" ht="20.100000000000001" hidden="1" customHeight="1">
      <c r="A926" s="979"/>
      <c r="B926" s="979"/>
      <c r="C926" s="979"/>
      <c r="D926" s="979"/>
      <c r="E926" s="979"/>
      <c r="F926" s="979"/>
      <c r="G926" s="979"/>
      <c r="H926" s="979"/>
      <c r="I926" s="979"/>
      <c r="J926" s="979"/>
      <c r="K926" s="979"/>
    </row>
    <row r="927" spans="1:11" ht="45.75" hidden="1" customHeight="1">
      <c r="A927" s="1030" t="s">
        <v>1383</v>
      </c>
      <c r="B927" s="1030"/>
      <c r="C927" s="1030"/>
      <c r="D927" s="1030"/>
      <c r="E927" s="1030"/>
      <c r="F927" s="1030"/>
      <c r="G927" s="1030"/>
      <c r="H927" s="1030"/>
      <c r="I927" s="1030"/>
      <c r="J927" s="1030"/>
      <c r="K927" s="1030"/>
    </row>
    <row r="928" spans="1:11" ht="66" hidden="1" customHeight="1">
      <c r="A928" s="1031" t="s">
        <v>37</v>
      </c>
      <c r="B928" s="1033"/>
      <c r="C928" s="1037" t="s">
        <v>178</v>
      </c>
      <c r="D928" s="1037" t="s">
        <v>179</v>
      </c>
      <c r="E928" s="1037" t="s">
        <v>1521</v>
      </c>
      <c r="F928" s="1037" t="s">
        <v>14</v>
      </c>
      <c r="G928" s="1037" t="s">
        <v>1515</v>
      </c>
      <c r="H928" s="1037" t="s">
        <v>16</v>
      </c>
      <c r="I928" s="1039" t="s">
        <v>1490</v>
      </c>
      <c r="J928" s="1039" t="s">
        <v>2203</v>
      </c>
      <c r="K928" s="1037" t="s">
        <v>200</v>
      </c>
    </row>
    <row r="929" spans="1:11" s="500" customFormat="1" ht="30" hidden="1">
      <c r="A929" s="1034"/>
      <c r="B929" s="1036"/>
      <c r="C929" s="1038"/>
      <c r="D929" s="1038"/>
      <c r="E929" s="1038"/>
      <c r="F929" s="1038"/>
      <c r="G929" s="1038"/>
      <c r="H929" s="1038"/>
      <c r="I929" s="1039"/>
      <c r="J929" s="1039"/>
      <c r="K929" s="1038"/>
    </row>
    <row r="930" spans="1:11" s="500" customFormat="1" ht="74.25" hidden="1" customHeight="1">
      <c r="A930" s="1102" t="s">
        <v>2156</v>
      </c>
      <c r="B930" s="1103"/>
      <c r="C930" s="729"/>
      <c r="D930" s="729"/>
      <c r="E930" s="726"/>
      <c r="F930" s="727"/>
      <c r="G930" s="728"/>
      <c r="H930" s="728"/>
      <c r="I930" s="642">
        <f>I931+I940+I938</f>
        <v>44463</v>
      </c>
      <c r="J930" s="642">
        <f>J931+J940+J938</f>
        <v>29642</v>
      </c>
      <c r="K930" s="642">
        <f>I930+J930</f>
        <v>74105</v>
      </c>
    </row>
    <row r="931" spans="1:11" ht="75" hidden="1" customHeight="1">
      <c r="A931" s="1011" t="s">
        <v>1541</v>
      </c>
      <c r="B931" s="1013"/>
      <c r="C931" s="709"/>
      <c r="D931" s="709"/>
      <c r="E931" s="709"/>
      <c r="F931" s="708"/>
      <c r="G931" s="709"/>
      <c r="H931" s="710"/>
      <c r="I931" s="545">
        <f>SUM(I932:I937)</f>
        <v>32463</v>
      </c>
      <c r="J931" s="545">
        <f>SUM(J932:J937)</f>
        <v>21642</v>
      </c>
      <c r="K931" s="545">
        <f>I931+J931</f>
        <v>54105</v>
      </c>
    </row>
    <row r="932" spans="1:11" s="510" customFormat="1" ht="75" hidden="1" customHeight="1">
      <c r="A932" s="1020" t="s">
        <v>2157</v>
      </c>
      <c r="B932" s="1022"/>
      <c r="C932" s="714" t="s">
        <v>2163</v>
      </c>
      <c r="D932" s="714">
        <v>2</v>
      </c>
      <c r="E932" s="714" t="s">
        <v>2167</v>
      </c>
      <c r="F932" s="1044" t="s">
        <v>2229</v>
      </c>
      <c r="G932" s="1047">
        <v>8100</v>
      </c>
      <c r="H932" s="1099" t="s">
        <v>2273</v>
      </c>
      <c r="I932" s="717">
        <f t="shared" ref="I932:I937" si="35">K932/100*60</f>
        <v>2400</v>
      </c>
      <c r="J932" s="717">
        <f t="shared" ref="J932:J937" si="36">K932/100*40</f>
        <v>1600</v>
      </c>
      <c r="K932" s="717">
        <v>4000</v>
      </c>
    </row>
    <row r="933" spans="1:11" s="510" customFormat="1" ht="75" hidden="1" customHeight="1">
      <c r="A933" s="1020" t="s">
        <v>2159</v>
      </c>
      <c r="B933" s="1022"/>
      <c r="C933" s="714" t="s">
        <v>2164</v>
      </c>
      <c r="D933" s="714">
        <v>6</v>
      </c>
      <c r="E933" s="714" t="s">
        <v>2168</v>
      </c>
      <c r="F933" s="1045"/>
      <c r="G933" s="1048"/>
      <c r="H933" s="1100"/>
      <c r="I933" s="717">
        <f t="shared" si="35"/>
        <v>2463</v>
      </c>
      <c r="J933" s="717">
        <f t="shared" si="36"/>
        <v>1642</v>
      </c>
      <c r="K933" s="717">
        <v>4105</v>
      </c>
    </row>
    <row r="934" spans="1:11" s="510" customFormat="1" ht="74.25" hidden="1" customHeight="1">
      <c r="A934" s="1020" t="s">
        <v>1606</v>
      </c>
      <c r="B934" s="1022"/>
      <c r="C934" s="714" t="s">
        <v>1801</v>
      </c>
      <c r="D934" s="714">
        <v>100</v>
      </c>
      <c r="E934" s="714" t="s">
        <v>2169</v>
      </c>
      <c r="F934" s="1044" t="s">
        <v>2236</v>
      </c>
      <c r="G934" s="1048"/>
      <c r="H934" s="1100"/>
      <c r="I934" s="717">
        <f t="shared" si="35"/>
        <v>12000</v>
      </c>
      <c r="J934" s="717">
        <f t="shared" si="36"/>
        <v>8000</v>
      </c>
      <c r="K934" s="717">
        <v>20000</v>
      </c>
    </row>
    <row r="935" spans="1:11" s="510" customFormat="1" ht="75" hidden="1" customHeight="1">
      <c r="A935" s="1020" t="s">
        <v>2158</v>
      </c>
      <c r="B935" s="1022"/>
      <c r="C935" s="714" t="s">
        <v>2165</v>
      </c>
      <c r="D935" s="714">
        <v>618</v>
      </c>
      <c r="E935" s="714" t="s">
        <v>2170</v>
      </c>
      <c r="F935" s="1046"/>
      <c r="G935" s="1048"/>
      <c r="H935" s="1100"/>
      <c r="I935" s="717">
        <f t="shared" si="35"/>
        <v>3600</v>
      </c>
      <c r="J935" s="717">
        <f t="shared" si="36"/>
        <v>2400</v>
      </c>
      <c r="K935" s="717">
        <v>6000</v>
      </c>
    </row>
    <row r="936" spans="1:11" s="510" customFormat="1" ht="75" hidden="1" customHeight="1">
      <c r="A936" s="1020" t="s">
        <v>1840</v>
      </c>
      <c r="B936" s="1022"/>
      <c r="C936" s="714" t="s">
        <v>2166</v>
      </c>
      <c r="D936" s="714">
        <v>6</v>
      </c>
      <c r="E936" s="714" t="s">
        <v>1997</v>
      </c>
      <c r="F936" s="1044" t="s">
        <v>2231</v>
      </c>
      <c r="G936" s="1048"/>
      <c r="H936" s="1100"/>
      <c r="I936" s="717">
        <f t="shared" si="35"/>
        <v>2400</v>
      </c>
      <c r="J936" s="717">
        <f t="shared" si="36"/>
        <v>1600</v>
      </c>
      <c r="K936" s="717">
        <v>4000</v>
      </c>
    </row>
    <row r="937" spans="1:11" s="510" customFormat="1" ht="75" hidden="1" customHeight="1">
      <c r="A937" s="1020" t="s">
        <v>2160</v>
      </c>
      <c r="B937" s="1022"/>
      <c r="C937" s="714" t="s">
        <v>1934</v>
      </c>
      <c r="D937" s="714">
        <v>38</v>
      </c>
      <c r="E937" s="714" t="s">
        <v>1997</v>
      </c>
      <c r="F937" s="1046"/>
      <c r="G937" s="1049"/>
      <c r="H937" s="1101"/>
      <c r="I937" s="717">
        <f t="shared" si="35"/>
        <v>9600</v>
      </c>
      <c r="J937" s="717">
        <f t="shared" si="36"/>
        <v>6400</v>
      </c>
      <c r="K937" s="717">
        <v>16000</v>
      </c>
    </row>
    <row r="938" spans="1:11" ht="74.25" hidden="1" customHeight="1">
      <c r="A938" s="1011" t="s">
        <v>278</v>
      </c>
      <c r="B938" s="1013"/>
      <c r="C938" s="504"/>
      <c r="D938" s="709"/>
      <c r="E938" s="709"/>
      <c r="F938" s="708"/>
      <c r="G938" s="709"/>
      <c r="H938" s="710"/>
      <c r="I938" s="545">
        <f>SUM(I939)</f>
        <v>6000</v>
      </c>
      <c r="J938" s="545">
        <f>SUM(J939)</f>
        <v>4000</v>
      </c>
      <c r="K938" s="545">
        <f>I938+J938</f>
        <v>10000</v>
      </c>
    </row>
    <row r="939" spans="1:11" s="510" customFormat="1" ht="74.25" hidden="1" customHeight="1">
      <c r="A939" s="1020" t="s">
        <v>2004</v>
      </c>
      <c r="B939" s="1022"/>
      <c r="C939" s="714" t="s">
        <v>1215</v>
      </c>
      <c r="D939" s="714">
        <v>10</v>
      </c>
      <c r="E939" s="725" t="s">
        <v>2171</v>
      </c>
      <c r="F939" s="777" t="s">
        <v>2234</v>
      </c>
      <c r="G939" s="711">
        <v>8100</v>
      </c>
      <c r="H939" s="794" t="s">
        <v>2445</v>
      </c>
      <c r="I939" s="717">
        <f>K939/100*60</f>
        <v>6000</v>
      </c>
      <c r="J939" s="717">
        <f>K939/100*40</f>
        <v>4000</v>
      </c>
      <c r="K939" s="717">
        <v>10000</v>
      </c>
    </row>
    <row r="940" spans="1:11" ht="73.5" hidden="1" customHeight="1">
      <c r="A940" s="1011" t="s">
        <v>312</v>
      </c>
      <c r="B940" s="1013"/>
      <c r="C940" s="709"/>
      <c r="D940" s="709"/>
      <c r="E940" s="709"/>
      <c r="F940" s="708"/>
      <c r="G940" s="709"/>
      <c r="H940" s="710"/>
      <c r="I940" s="545">
        <f>SUM(I941:I942)</f>
        <v>6000</v>
      </c>
      <c r="J940" s="545">
        <f>SUM(J941:J942)</f>
        <v>4000</v>
      </c>
      <c r="K940" s="545">
        <f>I940+J940</f>
        <v>10000</v>
      </c>
    </row>
    <row r="941" spans="1:11" s="510" customFormat="1" ht="74.25" hidden="1" customHeight="1">
      <c r="A941" s="1020" t="s">
        <v>2161</v>
      </c>
      <c r="B941" s="1022"/>
      <c r="C941" s="714" t="s">
        <v>1801</v>
      </c>
      <c r="D941" s="714">
        <v>5</v>
      </c>
      <c r="E941" s="714" t="s">
        <v>2172</v>
      </c>
      <c r="F941" s="1044" t="s">
        <v>2224</v>
      </c>
      <c r="G941" s="1047">
        <v>8100</v>
      </c>
      <c r="H941" s="1099" t="s">
        <v>2273</v>
      </c>
      <c r="I941" s="717">
        <f>K941/100*60</f>
        <v>3600</v>
      </c>
      <c r="J941" s="717">
        <f>K941/100*40</f>
        <v>2400</v>
      </c>
      <c r="K941" s="717">
        <v>6000</v>
      </c>
    </row>
    <row r="942" spans="1:11" s="510" customFormat="1" ht="74.25" hidden="1" customHeight="1">
      <c r="A942" s="1020" t="s">
        <v>2162</v>
      </c>
      <c r="B942" s="1022"/>
      <c r="C942" s="714" t="s">
        <v>1999</v>
      </c>
      <c r="D942" s="714">
        <v>10</v>
      </c>
      <c r="E942" s="714" t="s">
        <v>2173</v>
      </c>
      <c r="F942" s="1046"/>
      <c r="G942" s="1049"/>
      <c r="H942" s="1101"/>
      <c r="I942" s="717">
        <f>K942/100*60</f>
        <v>2400</v>
      </c>
      <c r="J942" s="717">
        <f>K942/100*40</f>
        <v>1600</v>
      </c>
      <c r="K942" s="717">
        <v>4000</v>
      </c>
    </row>
    <row r="943" spans="1:11" s="743" customFormat="1" ht="36.75" hidden="1" customHeight="1">
      <c r="A943" s="1135"/>
      <c r="B943" s="1136"/>
      <c r="C943" s="738"/>
      <c r="D943" s="738"/>
      <c r="E943" s="739"/>
      <c r="F943" s="740"/>
      <c r="G943" s="741"/>
      <c r="H943" s="741"/>
      <c r="I943" s="742"/>
      <c r="J943" s="742"/>
      <c r="K943" s="742"/>
    </row>
    <row r="944" spans="1:11" ht="66" hidden="1" customHeight="1">
      <c r="A944" s="1031" t="s">
        <v>37</v>
      </c>
      <c r="B944" s="1033"/>
      <c r="C944" s="1037" t="s">
        <v>178</v>
      </c>
      <c r="D944" s="1037" t="s">
        <v>179</v>
      </c>
      <c r="E944" s="1037" t="s">
        <v>1521</v>
      </c>
      <c r="F944" s="1037" t="s">
        <v>14</v>
      </c>
      <c r="G944" s="1037" t="s">
        <v>1515</v>
      </c>
      <c r="H944" s="1037" t="s">
        <v>16</v>
      </c>
      <c r="I944" s="1039" t="s">
        <v>1490</v>
      </c>
      <c r="J944" s="1039" t="s">
        <v>2203</v>
      </c>
      <c r="K944" s="1037" t="s">
        <v>200</v>
      </c>
    </row>
    <row r="945" spans="1:11" s="500" customFormat="1" ht="30" hidden="1">
      <c r="A945" s="1034"/>
      <c r="B945" s="1036"/>
      <c r="C945" s="1038"/>
      <c r="D945" s="1038"/>
      <c r="E945" s="1038"/>
      <c r="F945" s="1038"/>
      <c r="G945" s="1038"/>
      <c r="H945" s="1038"/>
      <c r="I945" s="1039"/>
      <c r="J945" s="1039"/>
      <c r="K945" s="1038"/>
    </row>
    <row r="946" spans="1:11" s="500" customFormat="1" ht="74.25" hidden="1" customHeight="1">
      <c r="A946" s="1102" t="s">
        <v>2030</v>
      </c>
      <c r="B946" s="1103"/>
      <c r="C946" s="729"/>
      <c r="D946" s="729"/>
      <c r="E946" s="726"/>
      <c r="F946" s="727"/>
      <c r="G946" s="728"/>
      <c r="H946" s="728"/>
      <c r="I946" s="642">
        <f>I949+I957+I947+I955</f>
        <v>84009</v>
      </c>
      <c r="J946" s="642">
        <f>J949+J957+J947+J955</f>
        <v>56006</v>
      </c>
      <c r="K946" s="642">
        <f>I946+J946</f>
        <v>140015</v>
      </c>
    </row>
    <row r="947" spans="1:11" s="579" customFormat="1" ht="73.5" hidden="1" customHeight="1">
      <c r="A947" s="1011" t="s">
        <v>2251</v>
      </c>
      <c r="B947" s="1012"/>
      <c r="C947" s="1012"/>
      <c r="D947" s="1012"/>
      <c r="E947" s="1012"/>
      <c r="F947" s="1013"/>
      <c r="G947" s="709"/>
      <c r="H947" s="710"/>
      <c r="I947" s="545">
        <f>SUM(I948:I948)</f>
        <v>19851</v>
      </c>
      <c r="J947" s="545">
        <f>SUM(J948:J948)</f>
        <v>13234</v>
      </c>
      <c r="K947" s="545">
        <f>I947+J947</f>
        <v>33085</v>
      </c>
    </row>
    <row r="948" spans="1:11" s="510" customFormat="1" ht="74.25" hidden="1" customHeight="1">
      <c r="A948" s="1020" t="s">
        <v>2031</v>
      </c>
      <c r="B948" s="1022"/>
      <c r="C948" s="714" t="s">
        <v>147</v>
      </c>
      <c r="D948" s="714">
        <v>189</v>
      </c>
      <c r="E948" s="714" t="s">
        <v>2032</v>
      </c>
      <c r="F948" s="781" t="s">
        <v>2260</v>
      </c>
      <c r="G948" s="745">
        <v>8100</v>
      </c>
      <c r="H948" s="782" t="s">
        <v>2273</v>
      </c>
      <c r="I948" s="717">
        <f>K948/100*60</f>
        <v>19851</v>
      </c>
      <c r="J948" s="717">
        <f>K948/100*40</f>
        <v>13234</v>
      </c>
      <c r="K948" s="717">
        <v>33085</v>
      </c>
    </row>
    <row r="949" spans="1:11" ht="75" hidden="1" customHeight="1">
      <c r="A949" s="1011" t="s">
        <v>1541</v>
      </c>
      <c r="B949" s="1013"/>
      <c r="C949" s="709"/>
      <c r="D949" s="709"/>
      <c r="E949" s="709"/>
      <c r="F949" s="708"/>
      <c r="G949" s="709"/>
      <c r="H949" s="710"/>
      <c r="I949" s="545">
        <f>SUM(I950:I954)</f>
        <v>56358</v>
      </c>
      <c r="J949" s="545">
        <f>SUM(J950:J954)</f>
        <v>37572</v>
      </c>
      <c r="K949" s="545">
        <f>I949+J949</f>
        <v>93930</v>
      </c>
    </row>
    <row r="950" spans="1:11" s="510" customFormat="1" ht="75" hidden="1" customHeight="1">
      <c r="A950" s="1020" t="s">
        <v>2035</v>
      </c>
      <c r="B950" s="1022"/>
      <c r="C950" s="714" t="s">
        <v>2042</v>
      </c>
      <c r="D950" s="714">
        <v>3</v>
      </c>
      <c r="E950" s="714" t="s">
        <v>2040</v>
      </c>
      <c r="F950" s="781" t="s">
        <v>2229</v>
      </c>
      <c r="G950" s="1047">
        <v>8100</v>
      </c>
      <c r="H950" s="1099" t="s">
        <v>2273</v>
      </c>
      <c r="I950" s="717">
        <f>K950/100*60</f>
        <v>9558</v>
      </c>
      <c r="J950" s="717">
        <f>K950/100*40</f>
        <v>6372</v>
      </c>
      <c r="K950" s="717">
        <v>15930</v>
      </c>
    </row>
    <row r="951" spans="1:11" s="510" customFormat="1" ht="74.25" hidden="1" customHeight="1">
      <c r="A951" s="1020" t="s">
        <v>2034</v>
      </c>
      <c r="B951" s="1022"/>
      <c r="C951" s="714" t="s">
        <v>2041</v>
      </c>
      <c r="D951" s="714">
        <v>60</v>
      </c>
      <c r="E951" s="714" t="s">
        <v>2040</v>
      </c>
      <c r="F951" s="781" t="s">
        <v>2230</v>
      </c>
      <c r="G951" s="1048"/>
      <c r="H951" s="1100"/>
      <c r="I951" s="717">
        <f>K951/100*60</f>
        <v>15000</v>
      </c>
      <c r="J951" s="717">
        <f>K951/100*40</f>
        <v>10000</v>
      </c>
      <c r="K951" s="717">
        <v>25000</v>
      </c>
    </row>
    <row r="952" spans="1:11" s="510" customFormat="1" ht="75" hidden="1" customHeight="1">
      <c r="A952" s="1020" t="s">
        <v>2036</v>
      </c>
      <c r="B952" s="1022"/>
      <c r="C952" s="714" t="s">
        <v>1914</v>
      </c>
      <c r="D952" s="714">
        <v>6</v>
      </c>
      <c r="E952" s="714" t="s">
        <v>2043</v>
      </c>
      <c r="F952" s="1044" t="s">
        <v>2231</v>
      </c>
      <c r="G952" s="1048"/>
      <c r="H952" s="1100"/>
      <c r="I952" s="717">
        <f>K952/100*60</f>
        <v>10800</v>
      </c>
      <c r="J952" s="717">
        <f>K952/100*40</f>
        <v>7200</v>
      </c>
      <c r="K952" s="717">
        <v>18000</v>
      </c>
    </row>
    <row r="953" spans="1:11" s="510" customFormat="1" ht="75" hidden="1" customHeight="1">
      <c r="A953" s="1020" t="s">
        <v>2033</v>
      </c>
      <c r="B953" s="1022"/>
      <c r="C953" s="714" t="s">
        <v>2039</v>
      </c>
      <c r="D953" s="714">
        <v>3</v>
      </c>
      <c r="E953" s="714" t="s">
        <v>2040</v>
      </c>
      <c r="F953" s="1045"/>
      <c r="G953" s="1048"/>
      <c r="H953" s="1100"/>
      <c r="I953" s="717">
        <f>K953/100*60</f>
        <v>12000</v>
      </c>
      <c r="J953" s="717">
        <f>K953/100*40</f>
        <v>8000</v>
      </c>
      <c r="K953" s="717">
        <v>20000</v>
      </c>
    </row>
    <row r="954" spans="1:11" s="510" customFormat="1" ht="75" hidden="1" customHeight="1">
      <c r="A954" s="1020" t="s">
        <v>2037</v>
      </c>
      <c r="B954" s="1022"/>
      <c r="C954" s="714" t="s">
        <v>1934</v>
      </c>
      <c r="D954" s="714">
        <v>15</v>
      </c>
      <c r="E954" s="714" t="s">
        <v>2044</v>
      </c>
      <c r="F954" s="1046"/>
      <c r="G954" s="1049"/>
      <c r="H954" s="1101"/>
      <c r="I954" s="717">
        <f>K954/100*60</f>
        <v>9000</v>
      </c>
      <c r="J954" s="717">
        <f>K954/100*40</f>
        <v>6000</v>
      </c>
      <c r="K954" s="717">
        <v>15000</v>
      </c>
    </row>
    <row r="955" spans="1:11" ht="74.25" hidden="1" customHeight="1">
      <c r="A955" s="1011" t="s">
        <v>278</v>
      </c>
      <c r="B955" s="1013"/>
      <c r="C955" s="504"/>
      <c r="D955" s="709"/>
      <c r="E955" s="709"/>
      <c r="F955" s="708"/>
      <c r="G955" s="709"/>
      <c r="H955" s="710"/>
      <c r="I955" s="545">
        <f>SUM(I956)</f>
        <v>6000</v>
      </c>
      <c r="J955" s="545">
        <f>SUM(J956)</f>
        <v>4000</v>
      </c>
      <c r="K955" s="545">
        <f>I955+J955</f>
        <v>10000</v>
      </c>
    </row>
    <row r="956" spans="1:11" s="510" customFormat="1" ht="74.25" hidden="1" customHeight="1">
      <c r="A956" s="1020" t="s">
        <v>2004</v>
      </c>
      <c r="B956" s="1022"/>
      <c r="C956" s="714" t="s">
        <v>1215</v>
      </c>
      <c r="D956" s="714">
        <v>3</v>
      </c>
      <c r="E956" s="725" t="s">
        <v>2045</v>
      </c>
      <c r="F956" s="777" t="s">
        <v>2234</v>
      </c>
      <c r="G956" s="711">
        <v>8100</v>
      </c>
      <c r="H956" s="794" t="s">
        <v>2445</v>
      </c>
      <c r="I956" s="717">
        <f>K956/100*60</f>
        <v>6000</v>
      </c>
      <c r="J956" s="717">
        <f>K956/100*40</f>
        <v>4000</v>
      </c>
      <c r="K956" s="717">
        <v>10000</v>
      </c>
    </row>
    <row r="957" spans="1:11" ht="73.5" hidden="1" customHeight="1">
      <c r="A957" s="1011" t="s">
        <v>312</v>
      </c>
      <c r="B957" s="1013"/>
      <c r="C957" s="709"/>
      <c r="D957" s="709"/>
      <c r="E957" s="709"/>
      <c r="F957" s="708"/>
      <c r="G957" s="709"/>
      <c r="H957" s="710"/>
      <c r="I957" s="545">
        <f>SUM(I958:I958)</f>
        <v>1800</v>
      </c>
      <c r="J957" s="545">
        <f>SUM(J958:J958)</f>
        <v>1200</v>
      </c>
      <c r="K957" s="545">
        <f>I957+J957</f>
        <v>3000</v>
      </c>
    </row>
    <row r="958" spans="1:11" s="510" customFormat="1" ht="74.25" hidden="1" customHeight="1">
      <c r="A958" s="1020" t="s">
        <v>2038</v>
      </c>
      <c r="B958" s="1022"/>
      <c r="C958" s="714" t="s">
        <v>2041</v>
      </c>
      <c r="D958" s="714">
        <v>10</v>
      </c>
      <c r="E958" s="714" t="s">
        <v>2046</v>
      </c>
      <c r="F958" s="780" t="s">
        <v>2224</v>
      </c>
      <c r="G958" s="784">
        <v>8100</v>
      </c>
      <c r="H958" s="783" t="s">
        <v>2273</v>
      </c>
      <c r="I958" s="717">
        <f>K958/100*60</f>
        <v>1800</v>
      </c>
      <c r="J958" s="717">
        <f>K958/100*40</f>
        <v>1200</v>
      </c>
      <c r="K958" s="717">
        <v>3000</v>
      </c>
    </row>
    <row r="959" spans="1:11" s="510" customFormat="1" ht="74.25" hidden="1" customHeight="1">
      <c r="A959" s="753"/>
      <c r="B959" s="753"/>
      <c r="C959" s="754"/>
      <c r="D959" s="754"/>
      <c r="E959" s="754"/>
      <c r="F959" s="755"/>
      <c r="G959" s="758"/>
      <c r="H959" s="756"/>
      <c r="I959" s="757"/>
      <c r="J959" s="757"/>
      <c r="K959" s="757"/>
    </row>
    <row r="960" spans="1:11" s="510" customFormat="1" ht="74.25" hidden="1" customHeight="1">
      <c r="A960" s="753"/>
      <c r="B960" s="753"/>
      <c r="C960" s="754"/>
      <c r="D960" s="754"/>
      <c r="E960" s="754"/>
      <c r="F960" s="755"/>
      <c r="G960" s="758"/>
      <c r="H960" s="756"/>
      <c r="I960" s="757"/>
      <c r="J960" s="757"/>
      <c r="K960" s="757"/>
    </row>
    <row r="961" spans="1:11" s="510" customFormat="1" ht="74.25" hidden="1" customHeight="1">
      <c r="A961" s="753"/>
      <c r="B961" s="753"/>
      <c r="C961" s="754"/>
      <c r="D961" s="754"/>
      <c r="E961" s="754"/>
      <c r="F961" s="755"/>
      <c r="G961" s="758"/>
      <c r="H961" s="756"/>
      <c r="I961" s="757"/>
      <c r="J961" s="757"/>
      <c r="K961" s="757"/>
    </row>
    <row r="962" spans="1:11" s="510" customFormat="1" ht="74.25" hidden="1" customHeight="1">
      <c r="A962" s="753"/>
      <c r="B962" s="753"/>
      <c r="C962" s="754"/>
      <c r="D962" s="754"/>
      <c r="E962" s="754"/>
      <c r="F962" s="755"/>
      <c r="G962" s="758"/>
      <c r="H962" s="756"/>
      <c r="I962" s="757"/>
      <c r="J962" s="757"/>
      <c r="K962" s="757"/>
    </row>
    <row r="963" spans="1:11" ht="34.5" hidden="1" customHeight="1">
      <c r="A963" s="1128" t="s">
        <v>51</v>
      </c>
      <c r="B963" s="1128"/>
      <c r="C963" s="1128"/>
      <c r="D963" s="1128"/>
      <c r="E963" s="1128"/>
      <c r="F963" s="1128"/>
      <c r="G963" s="1128"/>
      <c r="H963" s="1128"/>
      <c r="I963" s="1128"/>
      <c r="J963" s="1128"/>
      <c r="K963" s="1128"/>
    </row>
    <row r="964" spans="1:11" ht="30.75" hidden="1" customHeight="1">
      <c r="A964" s="1128" t="s">
        <v>52</v>
      </c>
      <c r="B964" s="1128"/>
      <c r="C964" s="1128"/>
      <c r="D964" s="1128"/>
      <c r="E964" s="1128"/>
      <c r="F964" s="1128"/>
      <c r="G964" s="1128"/>
      <c r="H964" s="1128"/>
      <c r="I964" s="1128"/>
      <c r="J964" s="1128"/>
      <c r="K964" s="1128"/>
    </row>
    <row r="965" spans="1:11" ht="33" hidden="1" customHeight="1">
      <c r="A965" s="1132" t="s">
        <v>50</v>
      </c>
      <c r="B965" s="1132"/>
      <c r="C965" s="1132"/>
      <c r="D965" s="1132"/>
      <c r="E965" s="1132"/>
      <c r="F965" s="1132"/>
      <c r="G965" s="1132"/>
      <c r="H965" s="1132"/>
      <c r="I965" s="1132"/>
      <c r="J965" s="1132"/>
      <c r="K965" s="1132"/>
    </row>
    <row r="966" spans="1:11" ht="33" hidden="1" customHeight="1">
      <c r="A966" s="154"/>
      <c r="B966" s="154"/>
      <c r="C966" s="154"/>
      <c r="D966" s="154"/>
      <c r="E966" s="154"/>
      <c r="F966" s="154"/>
      <c r="G966" s="707"/>
      <c r="H966" s="707"/>
      <c r="I966" s="707"/>
      <c r="J966" s="707"/>
      <c r="K966" s="707"/>
    </row>
    <row r="967" spans="1:11" ht="35.25" hidden="1">
      <c r="A967" s="1128" t="s">
        <v>1336</v>
      </c>
      <c r="B967" s="1128"/>
      <c r="C967" s="1128"/>
      <c r="D967" s="1128"/>
      <c r="E967" s="1128"/>
      <c r="F967" s="1128"/>
      <c r="G967" s="1128"/>
      <c r="H967" s="1128"/>
      <c r="I967" s="1128"/>
      <c r="J967" s="1128"/>
      <c r="K967" s="1128"/>
    </row>
    <row r="968" spans="1:11" s="620" customFormat="1" ht="33" hidden="1">
      <c r="A968" s="65"/>
      <c r="B968" s="65"/>
      <c r="C968" s="65"/>
      <c r="D968" s="65"/>
      <c r="E968" s="65"/>
      <c r="F968" s="65"/>
      <c r="G968" s="68"/>
      <c r="H968" s="68"/>
      <c r="I968" s="68"/>
      <c r="J968" s="68"/>
      <c r="K968" s="68"/>
    </row>
    <row r="969" spans="1:11" ht="20.100000000000001" hidden="1" customHeight="1">
      <c r="A969" s="65"/>
      <c r="B969" s="65"/>
      <c r="C969" s="65"/>
      <c r="D969" s="65"/>
      <c r="E969" s="65"/>
      <c r="F969" s="65"/>
      <c r="G969" s="68"/>
      <c r="H969" s="68"/>
      <c r="I969" s="68"/>
      <c r="J969" s="68"/>
      <c r="K969" s="68"/>
    </row>
    <row r="970" spans="1:11" ht="20.100000000000001" hidden="1" customHeight="1">
      <c r="A970" s="979"/>
      <c r="B970" s="979"/>
      <c r="C970" s="979"/>
      <c r="D970" s="979"/>
      <c r="E970" s="979"/>
      <c r="F970" s="979"/>
      <c r="G970" s="979"/>
      <c r="H970" s="979"/>
      <c r="I970" s="979"/>
      <c r="J970" s="979"/>
      <c r="K970" s="979"/>
    </row>
    <row r="971" spans="1:11" ht="45.75" hidden="1" customHeight="1">
      <c r="A971" s="1030" t="s">
        <v>1383</v>
      </c>
      <c r="B971" s="1030"/>
      <c r="C971" s="1030"/>
      <c r="D971" s="1030"/>
      <c r="E971" s="1030"/>
      <c r="F971" s="1030"/>
      <c r="G971" s="1030"/>
      <c r="H971" s="1030"/>
      <c r="I971" s="1030"/>
      <c r="J971" s="1030"/>
      <c r="K971" s="1030"/>
    </row>
    <row r="972" spans="1:11" ht="66" hidden="1" customHeight="1">
      <c r="A972" s="1031" t="s">
        <v>37</v>
      </c>
      <c r="B972" s="1033"/>
      <c r="C972" s="1037" t="s">
        <v>178</v>
      </c>
      <c r="D972" s="1037" t="s">
        <v>179</v>
      </c>
      <c r="E972" s="1037" t="s">
        <v>1521</v>
      </c>
      <c r="F972" s="1037" t="s">
        <v>14</v>
      </c>
      <c r="G972" s="1037" t="s">
        <v>1515</v>
      </c>
      <c r="H972" s="1037" t="s">
        <v>16</v>
      </c>
      <c r="I972" s="1039" t="s">
        <v>1490</v>
      </c>
      <c r="J972" s="1039" t="s">
        <v>2203</v>
      </c>
      <c r="K972" s="1037" t="s">
        <v>200</v>
      </c>
    </row>
    <row r="973" spans="1:11" s="500" customFormat="1" ht="30" hidden="1">
      <c r="A973" s="1034"/>
      <c r="B973" s="1036"/>
      <c r="C973" s="1038"/>
      <c r="D973" s="1038"/>
      <c r="E973" s="1038"/>
      <c r="F973" s="1038"/>
      <c r="G973" s="1038"/>
      <c r="H973" s="1038"/>
      <c r="I973" s="1039"/>
      <c r="J973" s="1039"/>
      <c r="K973" s="1038"/>
    </row>
    <row r="974" spans="1:11" s="500" customFormat="1" ht="74.25" hidden="1" customHeight="1">
      <c r="A974" s="1102" t="s">
        <v>2047</v>
      </c>
      <c r="B974" s="1103"/>
      <c r="C974" s="729"/>
      <c r="D974" s="729"/>
      <c r="E974" s="726"/>
      <c r="F974" s="727"/>
      <c r="G974" s="728"/>
      <c r="H974" s="728"/>
      <c r="I974" s="642">
        <f>I982+I990+I975+I988</f>
        <v>499128</v>
      </c>
      <c r="J974" s="642">
        <f>J982+J990+J975+J988</f>
        <v>332752</v>
      </c>
      <c r="K974" s="642">
        <f>I974+J974</f>
        <v>831880</v>
      </c>
    </row>
    <row r="975" spans="1:11" s="579" customFormat="1" ht="73.5" hidden="1" customHeight="1">
      <c r="A975" s="1011" t="s">
        <v>2251</v>
      </c>
      <c r="B975" s="1012"/>
      <c r="C975" s="1012"/>
      <c r="D975" s="1012"/>
      <c r="E975" s="1012"/>
      <c r="F975" s="1013"/>
      <c r="G975" s="709"/>
      <c r="H975" s="710"/>
      <c r="I975" s="545">
        <f>SUM(I976:I981)</f>
        <v>192533.4</v>
      </c>
      <c r="J975" s="545">
        <f>SUM(J976:J981)</f>
        <v>128355.6</v>
      </c>
      <c r="K975" s="545">
        <f>I975+J975</f>
        <v>320889</v>
      </c>
    </row>
    <row r="976" spans="1:11" s="510" customFormat="1" ht="74.25" hidden="1" customHeight="1">
      <c r="A976" s="1020" t="s">
        <v>374</v>
      </c>
      <c r="B976" s="1022"/>
      <c r="C976" s="714" t="s">
        <v>147</v>
      </c>
      <c r="D976" s="714">
        <v>149</v>
      </c>
      <c r="E976" s="714" t="s">
        <v>2051</v>
      </c>
      <c r="F976" s="781" t="s">
        <v>2261</v>
      </c>
      <c r="G976" s="1047">
        <v>8100</v>
      </c>
      <c r="H976" s="1099" t="s">
        <v>2273</v>
      </c>
      <c r="I976" s="717">
        <f t="shared" ref="I976:I981" si="37">K976/100*60</f>
        <v>14620.800000000001</v>
      </c>
      <c r="J976" s="717">
        <f t="shared" ref="J976:J981" si="38">K976/100*40</f>
        <v>9747.2000000000007</v>
      </c>
      <c r="K976" s="717">
        <v>24368</v>
      </c>
    </row>
    <row r="977" spans="1:11" s="510" customFormat="1" ht="74.25" hidden="1" customHeight="1">
      <c r="A977" s="1020" t="s">
        <v>375</v>
      </c>
      <c r="B977" s="1022"/>
      <c r="C977" s="714" t="s">
        <v>147</v>
      </c>
      <c r="D977" s="714">
        <v>190</v>
      </c>
      <c r="E977" s="714" t="s">
        <v>2051</v>
      </c>
      <c r="F977" s="781" t="s">
        <v>2262</v>
      </c>
      <c r="G977" s="1048"/>
      <c r="H977" s="1100"/>
      <c r="I977" s="717">
        <f t="shared" si="37"/>
        <v>32507.999999999996</v>
      </c>
      <c r="J977" s="717">
        <f t="shared" si="38"/>
        <v>21672</v>
      </c>
      <c r="K977" s="717">
        <v>54180</v>
      </c>
    </row>
    <row r="978" spans="1:11" s="510" customFormat="1" ht="74.25" hidden="1" customHeight="1">
      <c r="A978" s="1020" t="s">
        <v>376</v>
      </c>
      <c r="B978" s="1022"/>
      <c r="C978" s="714" t="s">
        <v>147</v>
      </c>
      <c r="D978" s="714">
        <v>150</v>
      </c>
      <c r="E978" s="714" t="s">
        <v>2051</v>
      </c>
      <c r="F978" s="781" t="s">
        <v>2263</v>
      </c>
      <c r="G978" s="1048"/>
      <c r="H978" s="1100"/>
      <c r="I978" s="717">
        <f t="shared" si="37"/>
        <v>6844.8</v>
      </c>
      <c r="J978" s="717">
        <f t="shared" si="38"/>
        <v>4563.2</v>
      </c>
      <c r="K978" s="717">
        <v>11408</v>
      </c>
    </row>
    <row r="979" spans="1:11" s="510" customFormat="1" ht="74.25" hidden="1" customHeight="1">
      <c r="A979" s="1020" t="s">
        <v>2048</v>
      </c>
      <c r="B979" s="1022"/>
      <c r="C979" s="714" t="s">
        <v>147</v>
      </c>
      <c r="D979" s="714">
        <v>78</v>
      </c>
      <c r="E979" s="714" t="s">
        <v>2051</v>
      </c>
      <c r="F979" s="781" t="s">
        <v>2264</v>
      </c>
      <c r="G979" s="1048"/>
      <c r="H979" s="1100"/>
      <c r="I979" s="717">
        <f t="shared" si="37"/>
        <v>32296.799999999999</v>
      </c>
      <c r="J979" s="717">
        <f t="shared" si="38"/>
        <v>21531.199999999997</v>
      </c>
      <c r="K979" s="717">
        <v>53828</v>
      </c>
    </row>
    <row r="980" spans="1:11" s="510" customFormat="1" ht="74.25" hidden="1" customHeight="1">
      <c r="A980" s="1020" t="s">
        <v>2049</v>
      </c>
      <c r="B980" s="1022"/>
      <c r="C980" s="714" t="s">
        <v>147</v>
      </c>
      <c r="D980" s="714">
        <v>154</v>
      </c>
      <c r="E980" s="714" t="s">
        <v>2051</v>
      </c>
      <c r="F980" s="781" t="s">
        <v>2265</v>
      </c>
      <c r="G980" s="1048"/>
      <c r="H980" s="1100"/>
      <c r="I980" s="717">
        <f t="shared" si="37"/>
        <v>51555</v>
      </c>
      <c r="J980" s="717">
        <f t="shared" si="38"/>
        <v>34370</v>
      </c>
      <c r="K980" s="717">
        <v>85925</v>
      </c>
    </row>
    <row r="981" spans="1:11" s="510" customFormat="1" ht="74.25" hidden="1" customHeight="1">
      <c r="A981" s="1020" t="s">
        <v>2050</v>
      </c>
      <c r="B981" s="1022"/>
      <c r="C981" s="714" t="s">
        <v>147</v>
      </c>
      <c r="D981" s="714">
        <v>246</v>
      </c>
      <c r="E981" s="714" t="s">
        <v>2051</v>
      </c>
      <c r="F981" s="781" t="s">
        <v>2266</v>
      </c>
      <c r="G981" s="1049"/>
      <c r="H981" s="1101"/>
      <c r="I981" s="717">
        <f t="shared" si="37"/>
        <v>54708</v>
      </c>
      <c r="J981" s="717">
        <f t="shared" si="38"/>
        <v>36472</v>
      </c>
      <c r="K981" s="717">
        <v>91180</v>
      </c>
    </row>
    <row r="982" spans="1:11" ht="75" hidden="1" customHeight="1">
      <c r="A982" s="1011" t="s">
        <v>1541</v>
      </c>
      <c r="B982" s="1013"/>
      <c r="C982" s="709"/>
      <c r="D982" s="709"/>
      <c r="E982" s="709"/>
      <c r="F982" s="708"/>
      <c r="G982" s="709"/>
      <c r="H982" s="710"/>
      <c r="I982" s="545">
        <f>SUM(I983:I987)</f>
        <v>232736.40000000002</v>
      </c>
      <c r="J982" s="545">
        <f>SUM(J983:J987)</f>
        <v>155157.6</v>
      </c>
      <c r="K982" s="545">
        <f>I982+J982</f>
        <v>387894</v>
      </c>
    </row>
    <row r="983" spans="1:11" s="510" customFormat="1" ht="75" hidden="1" customHeight="1">
      <c r="A983" s="1020" t="s">
        <v>2060</v>
      </c>
      <c r="B983" s="1022"/>
      <c r="C983" s="714" t="s">
        <v>2056</v>
      </c>
      <c r="D983" s="714">
        <v>16</v>
      </c>
      <c r="E983" s="714" t="s">
        <v>2051</v>
      </c>
      <c r="F983" s="1044" t="s">
        <v>2229</v>
      </c>
      <c r="G983" s="1047">
        <v>8100</v>
      </c>
      <c r="H983" s="1099" t="s">
        <v>2273</v>
      </c>
      <c r="I983" s="717">
        <f>K983/100*60</f>
        <v>27000</v>
      </c>
      <c r="J983" s="717">
        <f>K983/100*40</f>
        <v>18000</v>
      </c>
      <c r="K983" s="717">
        <v>45000</v>
      </c>
    </row>
    <row r="984" spans="1:11" s="510" customFormat="1" ht="75" hidden="1" customHeight="1">
      <c r="A984" s="1020" t="s">
        <v>2061</v>
      </c>
      <c r="B984" s="1022"/>
      <c r="C984" s="714" t="s">
        <v>2057</v>
      </c>
      <c r="D984" s="714">
        <v>1</v>
      </c>
      <c r="E984" s="714" t="s">
        <v>2051</v>
      </c>
      <c r="F984" s="1045"/>
      <c r="G984" s="1048"/>
      <c r="H984" s="1100"/>
      <c r="I984" s="717">
        <f>K984/100*60</f>
        <v>6600</v>
      </c>
      <c r="J984" s="717">
        <f>K984/100*40</f>
        <v>4400</v>
      </c>
      <c r="K984" s="717">
        <v>11000</v>
      </c>
    </row>
    <row r="985" spans="1:11" s="510" customFormat="1" ht="74.25" hidden="1" customHeight="1">
      <c r="A985" s="1020" t="s">
        <v>2062</v>
      </c>
      <c r="B985" s="1022"/>
      <c r="C985" s="714" t="s">
        <v>2053</v>
      </c>
      <c r="D985" s="714">
        <v>2</v>
      </c>
      <c r="E985" s="714" t="s">
        <v>2054</v>
      </c>
      <c r="F985" s="1044" t="s">
        <v>2230</v>
      </c>
      <c r="G985" s="1048"/>
      <c r="H985" s="1100"/>
      <c r="I985" s="717">
        <f>K985/100*60</f>
        <v>5700</v>
      </c>
      <c r="J985" s="717">
        <f>K985/100*40</f>
        <v>3800</v>
      </c>
      <c r="K985" s="717">
        <v>9500</v>
      </c>
    </row>
    <row r="986" spans="1:11" s="510" customFormat="1" ht="75" hidden="1" customHeight="1">
      <c r="A986" s="1020" t="s">
        <v>2063</v>
      </c>
      <c r="B986" s="1022"/>
      <c r="C986" s="714" t="s">
        <v>2055</v>
      </c>
      <c r="D986" s="716">
        <v>0.95</v>
      </c>
      <c r="E986" s="714" t="s">
        <v>2051</v>
      </c>
      <c r="F986" s="1046"/>
      <c r="G986" s="1048"/>
      <c r="H986" s="1100"/>
      <c r="I986" s="717">
        <f>K986/100*60</f>
        <v>78000</v>
      </c>
      <c r="J986" s="717">
        <f>K986/100*40</f>
        <v>52000</v>
      </c>
      <c r="K986" s="717">
        <v>130000</v>
      </c>
    </row>
    <row r="987" spans="1:11" s="510" customFormat="1" ht="75" hidden="1" customHeight="1">
      <c r="A987" s="1020" t="s">
        <v>2064</v>
      </c>
      <c r="B987" s="1022"/>
      <c r="C987" s="714" t="s">
        <v>2058</v>
      </c>
      <c r="D987" s="714">
        <v>70</v>
      </c>
      <c r="E987" s="714" t="s">
        <v>2059</v>
      </c>
      <c r="F987" s="781" t="s">
        <v>2231</v>
      </c>
      <c r="G987" s="1049"/>
      <c r="H987" s="1101"/>
      <c r="I987" s="717">
        <f>K987/100*60</f>
        <v>115436.40000000001</v>
      </c>
      <c r="J987" s="717">
        <f>K987/100*40</f>
        <v>76957.600000000006</v>
      </c>
      <c r="K987" s="717">
        <v>192394</v>
      </c>
    </row>
    <row r="988" spans="1:11" ht="74.25" hidden="1" customHeight="1">
      <c r="A988" s="1011" t="s">
        <v>278</v>
      </c>
      <c r="B988" s="1013"/>
      <c r="C988" s="504"/>
      <c r="D988" s="709"/>
      <c r="E988" s="709"/>
      <c r="F988" s="708"/>
      <c r="G988" s="709"/>
      <c r="H988" s="710"/>
      <c r="I988" s="545">
        <f>SUM(I989)</f>
        <v>16200</v>
      </c>
      <c r="J988" s="545">
        <f>SUM(J989)</f>
        <v>10800</v>
      </c>
      <c r="K988" s="545">
        <f>I988+J988</f>
        <v>27000</v>
      </c>
    </row>
    <row r="989" spans="1:11" s="510" customFormat="1" ht="74.25" hidden="1" customHeight="1">
      <c r="A989" s="1020" t="s">
        <v>2004</v>
      </c>
      <c r="B989" s="1022"/>
      <c r="C989" s="714" t="s">
        <v>1215</v>
      </c>
      <c r="D989" s="714">
        <v>13</v>
      </c>
      <c r="E989" s="725" t="s">
        <v>2051</v>
      </c>
      <c r="F989" s="777" t="s">
        <v>2234</v>
      </c>
      <c r="G989" s="711">
        <v>8100</v>
      </c>
      <c r="H989" s="794" t="s">
        <v>2445</v>
      </c>
      <c r="I989" s="717">
        <f>K989/100*60</f>
        <v>16200</v>
      </c>
      <c r="J989" s="717">
        <f>K989/100*40</f>
        <v>10800</v>
      </c>
      <c r="K989" s="717">
        <v>27000</v>
      </c>
    </row>
    <row r="990" spans="1:11" ht="73.5" hidden="1" customHeight="1">
      <c r="A990" s="1011" t="s">
        <v>312</v>
      </c>
      <c r="B990" s="1013"/>
      <c r="C990" s="709"/>
      <c r="D990" s="709"/>
      <c r="E990" s="709"/>
      <c r="F990" s="708"/>
      <c r="G990" s="709"/>
      <c r="H990" s="710"/>
      <c r="I990" s="545">
        <f>SUM(I991:I993)</f>
        <v>57658.2</v>
      </c>
      <c r="J990" s="545">
        <f>SUM(J991:J993)</f>
        <v>38438.800000000003</v>
      </c>
      <c r="K990" s="545">
        <f>I990+J990</f>
        <v>96097</v>
      </c>
    </row>
    <row r="991" spans="1:11" s="510" customFormat="1" ht="75" hidden="1" customHeight="1">
      <c r="A991" s="1020" t="s">
        <v>2065</v>
      </c>
      <c r="B991" s="1022"/>
      <c r="C991" s="714" t="s">
        <v>2052</v>
      </c>
      <c r="D991" s="714">
        <v>92</v>
      </c>
      <c r="E991" s="714" t="s">
        <v>2051</v>
      </c>
      <c r="F991" s="1044" t="s">
        <v>2224</v>
      </c>
      <c r="G991" s="1047">
        <v>8100</v>
      </c>
      <c r="H991" s="1099" t="s">
        <v>2273</v>
      </c>
      <c r="I991" s="717">
        <f>K991/100*60</f>
        <v>5550</v>
      </c>
      <c r="J991" s="717">
        <f>K991/100*40</f>
        <v>3700</v>
      </c>
      <c r="K991" s="717">
        <v>9250</v>
      </c>
    </row>
    <row r="992" spans="1:11" s="510" customFormat="1" ht="74.25" hidden="1" customHeight="1">
      <c r="A992" s="1020" t="s">
        <v>2066</v>
      </c>
      <c r="B992" s="1022"/>
      <c r="C992" s="714" t="s">
        <v>2057</v>
      </c>
      <c r="D992" s="714">
        <v>1</v>
      </c>
      <c r="E992" s="714" t="s">
        <v>2051</v>
      </c>
      <c r="F992" s="1045"/>
      <c r="G992" s="1048"/>
      <c r="H992" s="1100"/>
      <c r="I992" s="717">
        <f>K992/100*60</f>
        <v>24000</v>
      </c>
      <c r="J992" s="717">
        <f>K992/100*40</f>
        <v>16000</v>
      </c>
      <c r="K992" s="717">
        <v>40000</v>
      </c>
    </row>
    <row r="993" spans="1:11" s="510" customFormat="1" ht="74.25" hidden="1" customHeight="1">
      <c r="A993" s="1020" t="s">
        <v>2067</v>
      </c>
      <c r="B993" s="1022"/>
      <c r="C993" s="714" t="s">
        <v>2057</v>
      </c>
      <c r="D993" s="714">
        <v>1</v>
      </c>
      <c r="E993" s="714" t="s">
        <v>2051</v>
      </c>
      <c r="F993" s="1046"/>
      <c r="G993" s="1049"/>
      <c r="H993" s="1101"/>
      <c r="I993" s="717">
        <f>K993/100*60</f>
        <v>28108.2</v>
      </c>
      <c r="J993" s="717">
        <f>K993/100*40</f>
        <v>18738.800000000003</v>
      </c>
      <c r="K993" s="717">
        <v>46847</v>
      </c>
    </row>
    <row r="994" spans="1:11" s="510" customFormat="1" ht="74.25" hidden="1" customHeight="1">
      <c r="A994" s="753"/>
      <c r="B994" s="753"/>
      <c r="C994" s="754"/>
      <c r="D994" s="754"/>
      <c r="E994" s="754"/>
      <c r="F994" s="755"/>
      <c r="G994" s="758"/>
      <c r="H994" s="756"/>
      <c r="I994" s="757"/>
      <c r="J994" s="757"/>
      <c r="K994" s="757"/>
    </row>
    <row r="995" spans="1:11" s="510" customFormat="1" ht="74.25" hidden="1" customHeight="1">
      <c r="A995" s="753"/>
      <c r="B995" s="753"/>
      <c r="C995" s="754"/>
      <c r="D995" s="754"/>
      <c r="E995" s="754"/>
      <c r="F995" s="755"/>
      <c r="G995" s="758"/>
      <c r="H995" s="756"/>
      <c r="I995" s="757"/>
      <c r="J995" s="757"/>
      <c r="K995" s="757"/>
    </row>
    <row r="996" spans="1:11" s="510" customFormat="1" ht="74.25" hidden="1" customHeight="1">
      <c r="A996" s="753"/>
      <c r="B996" s="753"/>
      <c r="C996" s="754"/>
      <c r="D996" s="754"/>
      <c r="E996" s="754"/>
      <c r="F996" s="755"/>
      <c r="G996" s="758"/>
      <c r="H996" s="756"/>
      <c r="I996" s="757"/>
      <c r="J996" s="757"/>
      <c r="K996" s="757"/>
    </row>
    <row r="997" spans="1:11" s="510" customFormat="1" ht="74.25" hidden="1" customHeight="1">
      <c r="A997" s="753"/>
      <c r="B997" s="753"/>
      <c r="C997" s="754"/>
      <c r="D997" s="754"/>
      <c r="E997" s="754"/>
      <c r="F997" s="755"/>
      <c r="G997" s="758"/>
      <c r="H997" s="756"/>
      <c r="I997" s="757"/>
      <c r="J997" s="757"/>
      <c r="K997" s="757"/>
    </row>
    <row r="998" spans="1:11" s="510" customFormat="1" ht="74.25" hidden="1" customHeight="1">
      <c r="A998" s="753"/>
      <c r="B998" s="753"/>
      <c r="C998" s="754"/>
      <c r="D998" s="754"/>
      <c r="E998" s="754"/>
      <c r="F998" s="755"/>
      <c r="G998" s="758"/>
      <c r="H998" s="756"/>
      <c r="I998" s="757"/>
      <c r="J998" s="757"/>
      <c r="K998" s="757"/>
    </row>
    <row r="999" spans="1:11" s="510" customFormat="1" ht="74.25" hidden="1" customHeight="1">
      <c r="A999" s="753"/>
      <c r="B999" s="753"/>
      <c r="C999" s="754"/>
      <c r="D999" s="754"/>
      <c r="E999" s="754"/>
      <c r="F999" s="755"/>
      <c r="G999" s="758"/>
      <c r="H999" s="756"/>
      <c r="I999" s="757"/>
      <c r="J999" s="757"/>
      <c r="K999" s="757"/>
    </row>
    <row r="1000" spans="1:11" s="510" customFormat="1" ht="74.25" hidden="1" customHeight="1">
      <c r="A1000" s="753"/>
      <c r="B1000" s="753"/>
      <c r="C1000" s="754"/>
      <c r="D1000" s="754"/>
      <c r="E1000" s="754"/>
      <c r="F1000" s="755"/>
      <c r="G1000" s="758"/>
      <c r="H1000" s="756"/>
      <c r="I1000" s="757"/>
      <c r="J1000" s="757"/>
      <c r="K1000" s="757"/>
    </row>
    <row r="1001" spans="1:11" s="510" customFormat="1" ht="74.25" hidden="1" customHeight="1">
      <c r="A1001" s="753"/>
      <c r="B1001" s="753"/>
      <c r="C1001" s="754"/>
      <c r="D1001" s="754"/>
      <c r="E1001" s="754"/>
      <c r="F1001" s="755"/>
      <c r="G1001" s="758"/>
      <c r="H1001" s="756"/>
      <c r="I1001" s="757"/>
      <c r="J1001" s="757"/>
      <c r="K1001" s="757"/>
    </row>
    <row r="1002" spans="1:11" s="510" customFormat="1" ht="74.25" hidden="1" customHeight="1">
      <c r="A1002" s="753"/>
      <c r="B1002" s="753"/>
      <c r="C1002" s="754"/>
      <c r="D1002" s="754"/>
      <c r="E1002" s="754"/>
      <c r="F1002" s="755"/>
      <c r="G1002" s="758"/>
      <c r="H1002" s="756"/>
      <c r="I1002" s="757"/>
      <c r="J1002" s="757"/>
      <c r="K1002" s="757"/>
    </row>
    <row r="1003" spans="1:11" s="510" customFormat="1" ht="74.25" hidden="1" customHeight="1">
      <c r="A1003" s="753"/>
      <c r="B1003" s="753"/>
      <c r="C1003" s="754"/>
      <c r="D1003" s="754"/>
      <c r="E1003" s="754"/>
      <c r="F1003" s="755"/>
      <c r="G1003" s="758"/>
      <c r="H1003" s="756"/>
      <c r="I1003" s="757"/>
      <c r="J1003" s="757"/>
      <c r="K1003" s="757"/>
    </row>
    <row r="1004" spans="1:11" s="510" customFormat="1" ht="74.25" hidden="1" customHeight="1">
      <c r="A1004" s="753"/>
      <c r="B1004" s="753"/>
      <c r="C1004" s="754"/>
      <c r="D1004" s="754"/>
      <c r="E1004" s="754"/>
      <c r="F1004" s="755"/>
      <c r="G1004" s="758"/>
      <c r="H1004" s="756"/>
      <c r="I1004" s="757"/>
      <c r="J1004" s="757"/>
      <c r="K1004" s="757"/>
    </row>
    <row r="1005" spans="1:11" ht="34.5" hidden="1" customHeight="1">
      <c r="A1005" s="1128" t="s">
        <v>51</v>
      </c>
      <c r="B1005" s="1128"/>
      <c r="C1005" s="1128"/>
      <c r="D1005" s="1128"/>
      <c r="E1005" s="1128"/>
      <c r="F1005" s="1128"/>
      <c r="G1005" s="1128"/>
      <c r="H1005" s="1128"/>
      <c r="I1005" s="1128"/>
      <c r="J1005" s="1128"/>
      <c r="K1005" s="1128"/>
    </row>
    <row r="1006" spans="1:11" ht="30.75" hidden="1" customHeight="1">
      <c r="A1006" s="1128" t="s">
        <v>52</v>
      </c>
      <c r="B1006" s="1128"/>
      <c r="C1006" s="1128"/>
      <c r="D1006" s="1128"/>
      <c r="E1006" s="1128"/>
      <c r="F1006" s="1128"/>
      <c r="G1006" s="1128"/>
      <c r="H1006" s="1128"/>
      <c r="I1006" s="1128"/>
      <c r="J1006" s="1128"/>
      <c r="K1006" s="1128"/>
    </row>
    <row r="1007" spans="1:11" ht="33" hidden="1" customHeight="1">
      <c r="A1007" s="1132" t="s">
        <v>50</v>
      </c>
      <c r="B1007" s="1132"/>
      <c r="C1007" s="1132"/>
      <c r="D1007" s="1132"/>
      <c r="E1007" s="1132"/>
      <c r="F1007" s="1132"/>
      <c r="G1007" s="1132"/>
      <c r="H1007" s="1132"/>
      <c r="I1007" s="1132"/>
      <c r="J1007" s="1132"/>
      <c r="K1007" s="1132"/>
    </row>
    <row r="1008" spans="1:11" ht="33" hidden="1" customHeight="1">
      <c r="A1008" s="154"/>
      <c r="B1008" s="154"/>
      <c r="C1008" s="154"/>
      <c r="D1008" s="154"/>
      <c r="E1008" s="154"/>
      <c r="F1008" s="154"/>
      <c r="G1008" s="707"/>
      <c r="H1008" s="707"/>
      <c r="I1008" s="707"/>
      <c r="J1008" s="707"/>
      <c r="K1008" s="707"/>
    </row>
    <row r="1009" spans="1:11" ht="35.25" hidden="1">
      <c r="A1009" s="1128" t="s">
        <v>1336</v>
      </c>
      <c r="B1009" s="1128"/>
      <c r="C1009" s="1128"/>
      <c r="D1009" s="1128"/>
      <c r="E1009" s="1128"/>
      <c r="F1009" s="1128"/>
      <c r="G1009" s="1128"/>
      <c r="H1009" s="1128"/>
      <c r="I1009" s="1128"/>
      <c r="J1009" s="1128"/>
      <c r="K1009" s="1128"/>
    </row>
    <row r="1010" spans="1:11" s="620" customFormat="1" ht="33" hidden="1">
      <c r="A1010" s="65"/>
      <c r="B1010" s="65"/>
      <c r="C1010" s="65"/>
      <c r="D1010" s="65"/>
      <c r="E1010" s="65"/>
      <c r="F1010" s="65"/>
      <c r="G1010" s="68"/>
      <c r="H1010" s="68"/>
      <c r="I1010" s="68"/>
      <c r="J1010" s="68"/>
      <c r="K1010" s="68"/>
    </row>
    <row r="1011" spans="1:11" ht="20.100000000000001" hidden="1" customHeight="1">
      <c r="A1011" s="65"/>
      <c r="B1011" s="65"/>
      <c r="C1011" s="65"/>
      <c r="D1011" s="65"/>
      <c r="E1011" s="65"/>
      <c r="F1011" s="65"/>
      <c r="G1011" s="68"/>
      <c r="H1011" s="68"/>
      <c r="I1011" s="68"/>
      <c r="J1011" s="68"/>
      <c r="K1011" s="68"/>
    </row>
    <row r="1012" spans="1:11" ht="20.100000000000001" hidden="1" customHeight="1">
      <c r="A1012" s="979"/>
      <c r="B1012" s="979"/>
      <c r="C1012" s="979"/>
      <c r="D1012" s="979"/>
      <c r="E1012" s="979"/>
      <c r="F1012" s="979"/>
      <c r="G1012" s="979"/>
      <c r="H1012" s="979"/>
      <c r="I1012" s="979"/>
      <c r="J1012" s="979"/>
      <c r="K1012" s="979"/>
    </row>
    <row r="1013" spans="1:11" ht="45.75" hidden="1" customHeight="1">
      <c r="A1013" s="1030" t="s">
        <v>1383</v>
      </c>
      <c r="B1013" s="1030"/>
      <c r="C1013" s="1030"/>
      <c r="D1013" s="1030"/>
      <c r="E1013" s="1030"/>
      <c r="F1013" s="1030"/>
      <c r="G1013" s="1030"/>
      <c r="H1013" s="1030"/>
      <c r="I1013" s="1030"/>
      <c r="J1013" s="1030"/>
      <c r="K1013" s="1030"/>
    </row>
    <row r="1014" spans="1:11" ht="66" hidden="1" customHeight="1">
      <c r="A1014" s="1031" t="s">
        <v>37</v>
      </c>
      <c r="B1014" s="1033"/>
      <c r="C1014" s="1037" t="s">
        <v>178</v>
      </c>
      <c r="D1014" s="1037" t="s">
        <v>179</v>
      </c>
      <c r="E1014" s="1037" t="s">
        <v>1521</v>
      </c>
      <c r="F1014" s="1037" t="s">
        <v>14</v>
      </c>
      <c r="G1014" s="1037" t="s">
        <v>1515</v>
      </c>
      <c r="H1014" s="1037" t="s">
        <v>16</v>
      </c>
      <c r="I1014" s="1039" t="s">
        <v>1490</v>
      </c>
      <c r="J1014" s="1039" t="s">
        <v>2203</v>
      </c>
      <c r="K1014" s="1037" t="s">
        <v>200</v>
      </c>
    </row>
    <row r="1015" spans="1:11" s="500" customFormat="1" ht="30" hidden="1">
      <c r="A1015" s="1034"/>
      <c r="B1015" s="1036"/>
      <c r="C1015" s="1038"/>
      <c r="D1015" s="1038"/>
      <c r="E1015" s="1038"/>
      <c r="F1015" s="1038"/>
      <c r="G1015" s="1038"/>
      <c r="H1015" s="1038"/>
      <c r="I1015" s="1039"/>
      <c r="J1015" s="1039"/>
      <c r="K1015" s="1038"/>
    </row>
    <row r="1016" spans="1:11" s="500" customFormat="1" ht="74.25" hidden="1" customHeight="1">
      <c r="A1016" s="1102" t="s">
        <v>2070</v>
      </c>
      <c r="B1016" s="1103"/>
      <c r="C1016" s="729"/>
      <c r="D1016" s="729"/>
      <c r="E1016" s="726"/>
      <c r="F1016" s="727"/>
      <c r="G1016" s="728"/>
      <c r="H1016" s="728"/>
      <c r="I1016" s="642">
        <f>I1019+I1023+I1017</f>
        <v>186247.8</v>
      </c>
      <c r="J1016" s="642">
        <f>J1019+J1023+J1017</f>
        <v>124165.20000000001</v>
      </c>
      <c r="K1016" s="642">
        <f>I1016+J1016</f>
        <v>310413</v>
      </c>
    </row>
    <row r="1017" spans="1:11" s="579" customFormat="1" ht="73.5" hidden="1" customHeight="1">
      <c r="A1017" s="1011" t="s">
        <v>2251</v>
      </c>
      <c r="B1017" s="1012"/>
      <c r="C1017" s="1012"/>
      <c r="D1017" s="1012"/>
      <c r="E1017" s="1012"/>
      <c r="F1017" s="1013"/>
      <c r="G1017" s="709"/>
      <c r="H1017" s="710"/>
      <c r="I1017" s="545">
        <f>SUM(I1018:I1018)</f>
        <v>3600</v>
      </c>
      <c r="J1017" s="545">
        <f>SUM(J1018:J1018)</f>
        <v>2400</v>
      </c>
      <c r="K1017" s="545">
        <f>I1017+J1017</f>
        <v>6000</v>
      </c>
    </row>
    <row r="1018" spans="1:11" s="510" customFormat="1" ht="74.25" hidden="1" customHeight="1">
      <c r="A1018" s="1020" t="s">
        <v>2071</v>
      </c>
      <c r="B1018" s="1022"/>
      <c r="C1018" s="714" t="s">
        <v>1544</v>
      </c>
      <c r="D1018" s="714"/>
      <c r="E1018" s="714" t="s">
        <v>1544</v>
      </c>
      <c r="F1018" s="781" t="s">
        <v>2267</v>
      </c>
      <c r="G1018" s="745">
        <v>8100</v>
      </c>
      <c r="H1018" s="782" t="s">
        <v>2273</v>
      </c>
      <c r="I1018" s="717">
        <f>K1018/100*60</f>
        <v>3600</v>
      </c>
      <c r="J1018" s="717">
        <f>K1018/100*40</f>
        <v>2400</v>
      </c>
      <c r="K1018" s="717">
        <v>6000</v>
      </c>
    </row>
    <row r="1019" spans="1:11" ht="75" hidden="1" customHeight="1">
      <c r="A1019" s="1011" t="s">
        <v>1541</v>
      </c>
      <c r="B1019" s="1013"/>
      <c r="C1019" s="709"/>
      <c r="D1019" s="709"/>
      <c r="E1019" s="709"/>
      <c r="F1019" s="708"/>
      <c r="G1019" s="709"/>
      <c r="H1019" s="710"/>
      <c r="I1019" s="545">
        <f>SUM(I1020:I1022)</f>
        <v>177415.8</v>
      </c>
      <c r="J1019" s="545">
        <f>SUM(J1020:J1022)</f>
        <v>118277.20000000001</v>
      </c>
      <c r="K1019" s="545">
        <f>I1019+J1019</f>
        <v>295693</v>
      </c>
    </row>
    <row r="1020" spans="1:11" s="510" customFormat="1" ht="75" hidden="1" customHeight="1">
      <c r="A1020" s="1020" t="s">
        <v>2068</v>
      </c>
      <c r="B1020" s="1022"/>
      <c r="C1020" s="714" t="s">
        <v>1544</v>
      </c>
      <c r="D1020" s="714"/>
      <c r="E1020" s="714" t="s">
        <v>1544</v>
      </c>
      <c r="F1020" s="781" t="s">
        <v>2229</v>
      </c>
      <c r="G1020" s="1047">
        <v>8100</v>
      </c>
      <c r="H1020" s="1099" t="s">
        <v>2273</v>
      </c>
      <c r="I1020" s="717">
        <f>K1020/100*60</f>
        <v>53400</v>
      </c>
      <c r="J1020" s="717">
        <f>K1020/100*40</f>
        <v>35600</v>
      </c>
      <c r="K1020" s="717">
        <v>89000</v>
      </c>
    </row>
    <row r="1021" spans="1:11" s="510" customFormat="1" ht="74.25" hidden="1" customHeight="1">
      <c r="A1021" s="1020" t="s">
        <v>1546</v>
      </c>
      <c r="B1021" s="1022"/>
      <c r="C1021" s="714" t="s">
        <v>1544</v>
      </c>
      <c r="D1021" s="714"/>
      <c r="E1021" s="714" t="s">
        <v>1544</v>
      </c>
      <c r="F1021" s="781" t="s">
        <v>2230</v>
      </c>
      <c r="G1021" s="1048"/>
      <c r="H1021" s="1100"/>
      <c r="I1021" s="717">
        <f>K1021/100*60</f>
        <v>27600</v>
      </c>
      <c r="J1021" s="717">
        <f>K1021/100*40</f>
        <v>18400</v>
      </c>
      <c r="K1021" s="717">
        <v>46000</v>
      </c>
    </row>
    <row r="1022" spans="1:11" s="510" customFormat="1" ht="75" hidden="1" customHeight="1">
      <c r="A1022" s="1020" t="s">
        <v>2069</v>
      </c>
      <c r="B1022" s="1022"/>
      <c r="C1022" s="714" t="s">
        <v>1544</v>
      </c>
      <c r="D1022" s="714"/>
      <c r="E1022" s="714" t="s">
        <v>1544</v>
      </c>
      <c r="F1022" s="781" t="s">
        <v>2231</v>
      </c>
      <c r="G1022" s="1048"/>
      <c r="H1022" s="1100"/>
      <c r="I1022" s="717">
        <f>K1022/100*60</f>
        <v>96415.8</v>
      </c>
      <c r="J1022" s="717">
        <f>K1022/100*40</f>
        <v>64277.200000000004</v>
      </c>
      <c r="K1022" s="717">
        <v>160693</v>
      </c>
    </row>
    <row r="1023" spans="1:11" ht="73.5" hidden="1" customHeight="1">
      <c r="A1023" s="1011" t="s">
        <v>312</v>
      </c>
      <c r="B1023" s="1013"/>
      <c r="C1023" s="709"/>
      <c r="D1023" s="709"/>
      <c r="E1023" s="709"/>
      <c r="F1023" s="708"/>
      <c r="G1023" s="709"/>
      <c r="H1023" s="710"/>
      <c r="I1023" s="545">
        <f>SUM(I1024:I1024)</f>
        <v>5232</v>
      </c>
      <c r="J1023" s="545">
        <f>SUM(J1024:J1024)</f>
        <v>3488</v>
      </c>
      <c r="K1023" s="545">
        <f>I1023+J1023</f>
        <v>8720</v>
      </c>
    </row>
    <row r="1024" spans="1:11" s="510" customFormat="1" ht="74.25" hidden="1" customHeight="1">
      <c r="A1024" s="1020" t="s">
        <v>2072</v>
      </c>
      <c r="B1024" s="1022"/>
      <c r="C1024" s="714" t="s">
        <v>1544</v>
      </c>
      <c r="D1024" s="714"/>
      <c r="E1024" s="714" t="s">
        <v>1544</v>
      </c>
      <c r="F1024" s="777" t="s">
        <v>2224</v>
      </c>
      <c r="G1024" s="745">
        <v>8100</v>
      </c>
      <c r="H1024" s="782" t="s">
        <v>2273</v>
      </c>
      <c r="I1024" s="717">
        <f>K1024/100*60</f>
        <v>5232</v>
      </c>
      <c r="J1024" s="717">
        <f>K1024/100*40</f>
        <v>3488</v>
      </c>
      <c r="K1024" s="717">
        <v>8720</v>
      </c>
    </row>
    <row r="1025" spans="1:11" ht="100.5" hidden="1" customHeight="1">
      <c r="A1025" s="1021"/>
      <c r="B1025" s="1021"/>
      <c r="C1025" s="1021"/>
      <c r="D1025" s="1021"/>
      <c r="E1025" s="1021"/>
      <c r="F1025" s="1021"/>
      <c r="G1025" s="1021"/>
      <c r="H1025" s="1021"/>
      <c r="I1025" s="1021"/>
      <c r="J1025" s="1021"/>
      <c r="K1025" s="1021"/>
    </row>
    <row r="1026" spans="1:11" s="743" customFormat="1" ht="36.75" hidden="1" customHeight="1">
      <c r="A1026" s="1135"/>
      <c r="B1026" s="1136"/>
      <c r="C1026" s="738"/>
      <c r="D1026" s="738"/>
      <c r="E1026" s="739"/>
      <c r="F1026" s="740"/>
      <c r="G1026" s="741"/>
      <c r="H1026" s="741"/>
      <c r="I1026" s="742"/>
      <c r="J1026" s="742"/>
      <c r="K1026" s="742"/>
    </row>
    <row r="1027" spans="1:11" ht="66" hidden="1" customHeight="1">
      <c r="A1027" s="1031" t="s">
        <v>37</v>
      </c>
      <c r="B1027" s="1033"/>
      <c r="C1027" s="1037" t="s">
        <v>178</v>
      </c>
      <c r="D1027" s="1037" t="s">
        <v>179</v>
      </c>
      <c r="E1027" s="1037" t="s">
        <v>1521</v>
      </c>
      <c r="F1027" s="1037" t="s">
        <v>14</v>
      </c>
      <c r="G1027" s="1037" t="s">
        <v>1515</v>
      </c>
      <c r="H1027" s="1037" t="s">
        <v>16</v>
      </c>
      <c r="I1027" s="1039" t="s">
        <v>1490</v>
      </c>
      <c r="J1027" s="1039" t="s">
        <v>2203</v>
      </c>
      <c r="K1027" s="1037" t="s">
        <v>200</v>
      </c>
    </row>
    <row r="1028" spans="1:11" s="500" customFormat="1" ht="30" hidden="1">
      <c r="A1028" s="1034"/>
      <c r="B1028" s="1036"/>
      <c r="C1028" s="1038"/>
      <c r="D1028" s="1038"/>
      <c r="E1028" s="1038"/>
      <c r="F1028" s="1038"/>
      <c r="G1028" s="1038"/>
      <c r="H1028" s="1038"/>
      <c r="I1028" s="1039"/>
      <c r="J1028" s="1039"/>
      <c r="K1028" s="1038"/>
    </row>
    <row r="1029" spans="1:11" s="500" customFormat="1" ht="74.25" hidden="1" customHeight="1">
      <c r="A1029" s="1102" t="s">
        <v>2137</v>
      </c>
      <c r="B1029" s="1103"/>
      <c r="C1029" s="729"/>
      <c r="D1029" s="729"/>
      <c r="E1029" s="726"/>
      <c r="F1029" s="727"/>
      <c r="G1029" s="728"/>
      <c r="H1029" s="728"/>
      <c r="I1029" s="642">
        <f>I1032+I1044+I1030+I1042</f>
        <v>284751.00000000006</v>
      </c>
      <c r="J1029" s="642">
        <f>J1032+J1044+J1030+J1042</f>
        <v>189834</v>
      </c>
      <c r="K1029" s="642">
        <f>I1029+J1029</f>
        <v>474585.00000000006</v>
      </c>
    </row>
    <row r="1030" spans="1:11" s="579" customFormat="1" ht="73.5" hidden="1" customHeight="1">
      <c r="A1030" s="1011" t="s">
        <v>2251</v>
      </c>
      <c r="B1030" s="1012"/>
      <c r="C1030" s="1012"/>
      <c r="D1030" s="1012"/>
      <c r="E1030" s="1012"/>
      <c r="F1030" s="1013"/>
      <c r="G1030" s="709"/>
      <c r="H1030" s="710"/>
      <c r="I1030" s="545">
        <f>SUM(I1031:I1031)</f>
        <v>50820</v>
      </c>
      <c r="J1030" s="545">
        <f>SUM(J1031:J1031)</f>
        <v>33880</v>
      </c>
      <c r="K1030" s="545">
        <f>I1030+J1030</f>
        <v>84700</v>
      </c>
    </row>
    <row r="1031" spans="1:11" s="510" customFormat="1" ht="74.25" hidden="1" customHeight="1">
      <c r="A1031" s="1020" t="s">
        <v>2138</v>
      </c>
      <c r="B1031" s="1022"/>
      <c r="C1031" s="714" t="s">
        <v>147</v>
      </c>
      <c r="D1031" s="714">
        <v>193</v>
      </c>
      <c r="E1031" s="714" t="s">
        <v>2148</v>
      </c>
      <c r="F1031" s="781" t="s">
        <v>2268</v>
      </c>
      <c r="G1031" s="745">
        <v>8100</v>
      </c>
      <c r="H1031" s="782" t="s">
        <v>2273</v>
      </c>
      <c r="I1031" s="717">
        <f>K1031/100*60</f>
        <v>50820</v>
      </c>
      <c r="J1031" s="717">
        <f>K1031/100*40</f>
        <v>33880</v>
      </c>
      <c r="K1031" s="717">
        <v>84700</v>
      </c>
    </row>
    <row r="1032" spans="1:11" ht="75" hidden="1" customHeight="1">
      <c r="A1032" s="1011" t="s">
        <v>1541</v>
      </c>
      <c r="B1032" s="1013"/>
      <c r="C1032" s="709"/>
      <c r="D1032" s="709"/>
      <c r="E1032" s="709"/>
      <c r="F1032" s="708"/>
      <c r="G1032" s="709"/>
      <c r="H1032" s="710"/>
      <c r="I1032" s="545">
        <f>SUM(I1033:I1041)</f>
        <v>196490.22000000003</v>
      </c>
      <c r="J1032" s="545">
        <f>SUM(J1033:J1041)</f>
        <v>130993.48000000001</v>
      </c>
      <c r="K1032" s="545">
        <f>I1032+J1032</f>
        <v>327483.70000000007</v>
      </c>
    </row>
    <row r="1033" spans="1:11" s="510" customFormat="1" ht="74.25" hidden="1" customHeight="1">
      <c r="A1033" s="1020" t="s">
        <v>2139</v>
      </c>
      <c r="B1033" s="1022"/>
      <c r="C1033" s="714" t="s">
        <v>1827</v>
      </c>
      <c r="D1033" s="714">
        <v>25</v>
      </c>
      <c r="E1033" s="714" t="s">
        <v>2149</v>
      </c>
      <c r="F1033" s="1044" t="s">
        <v>2229</v>
      </c>
      <c r="G1033" s="1047">
        <v>8100</v>
      </c>
      <c r="H1033" s="1099" t="s">
        <v>2273</v>
      </c>
      <c r="I1033" s="717">
        <f t="shared" ref="I1033:I1041" si="39">K1033/100*60</f>
        <v>10272</v>
      </c>
      <c r="J1033" s="717">
        <f t="shared" ref="J1033:J1041" si="40">K1033/100*40</f>
        <v>6848</v>
      </c>
      <c r="K1033" s="717">
        <v>17120</v>
      </c>
    </row>
    <row r="1034" spans="1:11" s="510" customFormat="1" ht="75" hidden="1" customHeight="1">
      <c r="A1034" s="1020" t="s">
        <v>2140</v>
      </c>
      <c r="B1034" s="1022"/>
      <c r="C1034" s="714" t="s">
        <v>2144</v>
      </c>
      <c r="D1034" s="714">
        <v>5</v>
      </c>
      <c r="E1034" s="714" t="s">
        <v>2150</v>
      </c>
      <c r="F1034" s="1045"/>
      <c r="G1034" s="1048"/>
      <c r="H1034" s="1100"/>
      <c r="I1034" s="717">
        <f t="shared" si="39"/>
        <v>6993.6</v>
      </c>
      <c r="J1034" s="717">
        <f t="shared" si="40"/>
        <v>4662.3999999999996</v>
      </c>
      <c r="K1034" s="717">
        <v>11656</v>
      </c>
    </row>
    <row r="1035" spans="1:11" s="510" customFormat="1" ht="75" hidden="1" customHeight="1">
      <c r="A1035" s="1020" t="s">
        <v>506</v>
      </c>
      <c r="B1035" s="1022"/>
      <c r="C1035" s="714" t="s">
        <v>2145</v>
      </c>
      <c r="D1035" s="714">
        <v>5</v>
      </c>
      <c r="E1035" s="714" t="s">
        <v>2151</v>
      </c>
      <c r="F1035" s="1045"/>
      <c r="G1035" s="1048"/>
      <c r="H1035" s="1100"/>
      <c r="I1035" s="717">
        <f t="shared" si="39"/>
        <v>13846.62</v>
      </c>
      <c r="J1035" s="717">
        <f t="shared" si="40"/>
        <v>9231.08</v>
      </c>
      <c r="K1035" s="717">
        <v>23077.7</v>
      </c>
    </row>
    <row r="1036" spans="1:11" s="510" customFormat="1" ht="75" hidden="1" customHeight="1">
      <c r="A1036" s="1020" t="s">
        <v>2007</v>
      </c>
      <c r="B1036" s="1022"/>
      <c r="C1036" s="714" t="s">
        <v>2039</v>
      </c>
      <c r="D1036" s="714">
        <v>10</v>
      </c>
      <c r="E1036" s="714" t="s">
        <v>2152</v>
      </c>
      <c r="F1036" s="1046"/>
      <c r="G1036" s="1048"/>
      <c r="H1036" s="1100"/>
      <c r="I1036" s="717">
        <f t="shared" si="39"/>
        <v>24000</v>
      </c>
      <c r="J1036" s="717">
        <f t="shared" si="40"/>
        <v>16000</v>
      </c>
      <c r="K1036" s="717">
        <v>40000</v>
      </c>
    </row>
    <row r="1037" spans="1:11" s="510" customFormat="1" ht="75" hidden="1" customHeight="1">
      <c r="A1037" s="1020" t="s">
        <v>2141</v>
      </c>
      <c r="B1037" s="1022"/>
      <c r="C1037" s="714" t="s">
        <v>1677</v>
      </c>
      <c r="D1037" s="744">
        <v>10000</v>
      </c>
      <c r="E1037" s="714" t="s">
        <v>2153</v>
      </c>
      <c r="F1037" s="1045" t="s">
        <v>2230</v>
      </c>
      <c r="G1037" s="1048"/>
      <c r="H1037" s="1100"/>
      <c r="I1037" s="717">
        <f t="shared" si="39"/>
        <v>34271.4</v>
      </c>
      <c r="J1037" s="717">
        <f t="shared" si="40"/>
        <v>22847.600000000002</v>
      </c>
      <c r="K1037" s="717">
        <v>57119</v>
      </c>
    </row>
    <row r="1038" spans="1:11" s="510" customFormat="1" ht="75" hidden="1" customHeight="1">
      <c r="A1038" s="1020" t="s">
        <v>2142</v>
      </c>
      <c r="B1038" s="1022"/>
      <c r="C1038" s="714" t="s">
        <v>2146</v>
      </c>
      <c r="D1038" s="714">
        <v>8</v>
      </c>
      <c r="E1038" s="714" t="s">
        <v>2153</v>
      </c>
      <c r="F1038" s="1046"/>
      <c r="G1038" s="1048"/>
      <c r="H1038" s="1100"/>
      <c r="I1038" s="717">
        <f t="shared" si="39"/>
        <v>62543.400000000009</v>
      </c>
      <c r="J1038" s="717">
        <f t="shared" si="40"/>
        <v>41695.600000000006</v>
      </c>
      <c r="K1038" s="717">
        <v>104239</v>
      </c>
    </row>
    <row r="1039" spans="1:11" s="510" customFormat="1" ht="75" hidden="1" customHeight="1">
      <c r="A1039" s="1020" t="s">
        <v>2143</v>
      </c>
      <c r="B1039" s="1022"/>
      <c r="C1039" s="714" t="s">
        <v>2147</v>
      </c>
      <c r="D1039" s="714">
        <v>4</v>
      </c>
      <c r="E1039" s="714" t="s">
        <v>2153</v>
      </c>
      <c r="F1039" s="1044" t="s">
        <v>2231</v>
      </c>
      <c r="G1039" s="1048"/>
      <c r="H1039" s="1100"/>
      <c r="I1039" s="717">
        <f t="shared" si="39"/>
        <v>12000</v>
      </c>
      <c r="J1039" s="717">
        <f t="shared" si="40"/>
        <v>8000</v>
      </c>
      <c r="K1039" s="717">
        <v>20000</v>
      </c>
    </row>
    <row r="1040" spans="1:11" s="510" customFormat="1" ht="75" hidden="1" customHeight="1">
      <c r="A1040" s="1020" t="s">
        <v>1808</v>
      </c>
      <c r="B1040" s="1022"/>
      <c r="C1040" s="714" t="s">
        <v>2147</v>
      </c>
      <c r="D1040" s="714">
        <v>4</v>
      </c>
      <c r="E1040" s="714" t="s">
        <v>2153</v>
      </c>
      <c r="F1040" s="1045"/>
      <c r="G1040" s="1048"/>
      <c r="H1040" s="1100"/>
      <c r="I1040" s="717">
        <f t="shared" si="39"/>
        <v>6000</v>
      </c>
      <c r="J1040" s="717">
        <f t="shared" si="40"/>
        <v>4000</v>
      </c>
      <c r="K1040" s="717">
        <v>10000</v>
      </c>
    </row>
    <row r="1041" spans="1:11" s="510" customFormat="1" ht="75" hidden="1" customHeight="1">
      <c r="A1041" s="1020" t="s">
        <v>1809</v>
      </c>
      <c r="B1041" s="1022"/>
      <c r="C1041" s="714" t="s">
        <v>2147</v>
      </c>
      <c r="D1041" s="714">
        <v>6</v>
      </c>
      <c r="E1041" s="714" t="s">
        <v>2153</v>
      </c>
      <c r="F1041" s="1046"/>
      <c r="G1041" s="1049"/>
      <c r="H1041" s="1101"/>
      <c r="I1041" s="717">
        <f t="shared" si="39"/>
        <v>26563.200000000001</v>
      </c>
      <c r="J1041" s="717">
        <f t="shared" si="40"/>
        <v>17708.800000000003</v>
      </c>
      <c r="K1041" s="717">
        <v>44272</v>
      </c>
    </row>
    <row r="1042" spans="1:11" ht="74.25" hidden="1" customHeight="1">
      <c r="A1042" s="1011" t="s">
        <v>278</v>
      </c>
      <c r="B1042" s="1013"/>
      <c r="C1042" s="504"/>
      <c r="D1042" s="709"/>
      <c r="E1042" s="709"/>
      <c r="F1042" s="708"/>
      <c r="G1042" s="709"/>
      <c r="H1042" s="710"/>
      <c r="I1042" s="545">
        <f>SUM(I1043)</f>
        <v>31986.780000000002</v>
      </c>
      <c r="J1042" s="545">
        <f>SUM(J1043)</f>
        <v>21324.520000000004</v>
      </c>
      <c r="K1042" s="545">
        <f>I1042+J1042</f>
        <v>53311.3</v>
      </c>
    </row>
    <row r="1043" spans="1:11" s="510" customFormat="1" ht="74.25" hidden="1" customHeight="1">
      <c r="A1043" s="1020" t="s">
        <v>2004</v>
      </c>
      <c r="B1043" s="1022"/>
      <c r="C1043" s="714" t="s">
        <v>1215</v>
      </c>
      <c r="D1043" s="714">
        <v>50</v>
      </c>
      <c r="E1043" s="725" t="s">
        <v>2154</v>
      </c>
      <c r="F1043" s="777" t="s">
        <v>2234</v>
      </c>
      <c r="G1043" s="711">
        <v>8100</v>
      </c>
      <c r="H1043" s="794" t="s">
        <v>2445</v>
      </c>
      <c r="I1043" s="717">
        <f>K1043/100*60</f>
        <v>31986.780000000002</v>
      </c>
      <c r="J1043" s="717">
        <f>K1043/100*40</f>
        <v>21324.520000000004</v>
      </c>
      <c r="K1043" s="717">
        <v>53311.3</v>
      </c>
    </row>
    <row r="1044" spans="1:11" ht="73.5" hidden="1" customHeight="1">
      <c r="A1044" s="1011" t="s">
        <v>312</v>
      </c>
      <c r="B1044" s="1013"/>
      <c r="C1044" s="709"/>
      <c r="D1044" s="709"/>
      <c r="E1044" s="709"/>
      <c r="F1044" s="708"/>
      <c r="G1044" s="709"/>
      <c r="H1044" s="710"/>
      <c r="I1044" s="545">
        <f>SUM(I1045:I1045)</f>
        <v>5454</v>
      </c>
      <c r="J1044" s="545">
        <f>SUM(J1045:J1045)</f>
        <v>3636</v>
      </c>
      <c r="K1044" s="545">
        <f>I1044+J1044</f>
        <v>9090</v>
      </c>
    </row>
    <row r="1045" spans="1:11" s="510" customFormat="1" ht="74.25" hidden="1" customHeight="1">
      <c r="A1045" s="1020" t="s">
        <v>1799</v>
      </c>
      <c r="B1045" s="1022"/>
      <c r="C1045" s="714" t="s">
        <v>1677</v>
      </c>
      <c r="D1045" s="714">
        <v>30</v>
      </c>
      <c r="E1045" s="714" t="s">
        <v>2155</v>
      </c>
      <c r="F1045" s="777" t="s">
        <v>2224</v>
      </c>
      <c r="G1045" s="711">
        <v>8100</v>
      </c>
      <c r="H1045" s="783" t="s">
        <v>2273</v>
      </c>
      <c r="I1045" s="717">
        <f>K1045/100*60</f>
        <v>5454</v>
      </c>
      <c r="J1045" s="717">
        <f>K1045/100*40</f>
        <v>3636</v>
      </c>
      <c r="K1045" s="717">
        <v>9090</v>
      </c>
    </row>
    <row r="1046" spans="1:11" s="510" customFormat="1" ht="74.25" hidden="1" customHeight="1">
      <c r="A1046" s="753"/>
      <c r="B1046" s="753"/>
      <c r="C1046" s="754"/>
      <c r="D1046" s="754"/>
      <c r="E1046" s="754"/>
      <c r="F1046" s="755"/>
      <c r="G1046" s="758"/>
      <c r="H1046" s="756"/>
      <c r="I1046" s="757"/>
      <c r="J1046" s="757"/>
      <c r="K1046" s="757"/>
    </row>
    <row r="1047" spans="1:11" s="510" customFormat="1" ht="74.25" hidden="1" customHeight="1">
      <c r="A1047" s="753"/>
      <c r="B1047" s="753"/>
      <c r="C1047" s="754"/>
      <c r="D1047" s="754"/>
      <c r="E1047" s="754"/>
      <c r="F1047" s="755"/>
      <c r="G1047" s="758"/>
      <c r="H1047" s="756"/>
      <c r="I1047" s="757"/>
      <c r="J1047" s="757"/>
      <c r="K1047" s="757"/>
    </row>
    <row r="1048" spans="1:11" ht="34.5" hidden="1" customHeight="1">
      <c r="A1048" s="1128" t="s">
        <v>51</v>
      </c>
      <c r="B1048" s="1128"/>
      <c r="C1048" s="1128"/>
      <c r="D1048" s="1128"/>
      <c r="E1048" s="1128"/>
      <c r="F1048" s="1128"/>
      <c r="G1048" s="1128"/>
      <c r="H1048" s="1128"/>
      <c r="I1048" s="1128"/>
      <c r="J1048" s="1128"/>
      <c r="K1048" s="1128"/>
    </row>
    <row r="1049" spans="1:11" ht="30.75" hidden="1" customHeight="1">
      <c r="A1049" s="1128" t="s">
        <v>52</v>
      </c>
      <c r="B1049" s="1128"/>
      <c r="C1049" s="1128"/>
      <c r="D1049" s="1128"/>
      <c r="E1049" s="1128"/>
      <c r="F1049" s="1128"/>
      <c r="G1049" s="1128"/>
      <c r="H1049" s="1128"/>
      <c r="I1049" s="1128"/>
      <c r="J1049" s="1128"/>
      <c r="K1049" s="1128"/>
    </row>
    <row r="1050" spans="1:11" ht="33" hidden="1" customHeight="1">
      <c r="A1050" s="1132" t="s">
        <v>50</v>
      </c>
      <c r="B1050" s="1132"/>
      <c r="C1050" s="1132"/>
      <c r="D1050" s="1132"/>
      <c r="E1050" s="1132"/>
      <c r="F1050" s="1132"/>
      <c r="G1050" s="1132"/>
      <c r="H1050" s="1132"/>
      <c r="I1050" s="1132"/>
      <c r="J1050" s="1132"/>
      <c r="K1050" s="1132"/>
    </row>
    <row r="1051" spans="1:11" ht="33" hidden="1" customHeight="1">
      <c r="A1051" s="154"/>
      <c r="B1051" s="154"/>
      <c r="C1051" s="154"/>
      <c r="D1051" s="154"/>
      <c r="E1051" s="154"/>
      <c r="F1051" s="154"/>
      <c r="G1051" s="707"/>
      <c r="H1051" s="707"/>
      <c r="I1051" s="707"/>
      <c r="J1051" s="707"/>
      <c r="K1051" s="707"/>
    </row>
    <row r="1052" spans="1:11" ht="35.25" hidden="1">
      <c r="A1052" s="1128" t="s">
        <v>1336</v>
      </c>
      <c r="B1052" s="1128"/>
      <c r="C1052" s="1128"/>
      <c r="D1052" s="1128"/>
      <c r="E1052" s="1128"/>
      <c r="F1052" s="1128"/>
      <c r="G1052" s="1128"/>
      <c r="H1052" s="1128"/>
      <c r="I1052" s="1128"/>
      <c r="J1052" s="1128"/>
      <c r="K1052" s="1128"/>
    </row>
    <row r="1053" spans="1:11" s="620" customFormat="1" ht="33" hidden="1">
      <c r="A1053" s="65"/>
      <c r="B1053" s="65"/>
      <c r="C1053" s="65"/>
      <c r="D1053" s="65"/>
      <c r="E1053" s="65"/>
      <c r="F1053" s="65"/>
      <c r="G1053" s="68"/>
      <c r="H1053" s="68"/>
      <c r="I1053" s="68"/>
      <c r="J1053" s="68"/>
      <c r="K1053" s="68"/>
    </row>
    <row r="1054" spans="1:11" ht="20.100000000000001" hidden="1" customHeight="1">
      <c r="A1054" s="65"/>
      <c r="B1054" s="65"/>
      <c r="C1054" s="65"/>
      <c r="D1054" s="65"/>
      <c r="E1054" s="65"/>
      <c r="F1054" s="65"/>
      <c r="G1054" s="68"/>
      <c r="H1054" s="68"/>
      <c r="I1054" s="68"/>
      <c r="J1054" s="68"/>
      <c r="K1054" s="68"/>
    </row>
    <row r="1055" spans="1:11" ht="20.100000000000001" hidden="1" customHeight="1">
      <c r="A1055" s="979"/>
      <c r="B1055" s="979"/>
      <c r="C1055" s="979"/>
      <c r="D1055" s="979"/>
      <c r="E1055" s="979"/>
      <c r="F1055" s="979"/>
      <c r="G1055" s="979"/>
      <c r="H1055" s="979"/>
      <c r="I1055" s="979"/>
      <c r="J1055" s="979"/>
      <c r="K1055" s="979"/>
    </row>
    <row r="1056" spans="1:11" ht="45.75" hidden="1" customHeight="1">
      <c r="A1056" s="1030" t="s">
        <v>1383</v>
      </c>
      <c r="B1056" s="1030"/>
      <c r="C1056" s="1030"/>
      <c r="D1056" s="1030"/>
      <c r="E1056" s="1030"/>
      <c r="F1056" s="1030"/>
      <c r="G1056" s="1030"/>
      <c r="H1056" s="1030"/>
      <c r="I1056" s="1030"/>
      <c r="J1056" s="1030"/>
      <c r="K1056" s="1030"/>
    </row>
    <row r="1057" spans="1:11" ht="66" hidden="1" customHeight="1">
      <c r="A1057" s="1031" t="s">
        <v>37</v>
      </c>
      <c r="B1057" s="1033"/>
      <c r="C1057" s="1037" t="s">
        <v>178</v>
      </c>
      <c r="D1057" s="1037" t="s">
        <v>179</v>
      </c>
      <c r="E1057" s="1037" t="s">
        <v>1521</v>
      </c>
      <c r="F1057" s="1037" t="s">
        <v>14</v>
      </c>
      <c r="G1057" s="1037" t="s">
        <v>1515</v>
      </c>
      <c r="H1057" s="1037" t="s">
        <v>16</v>
      </c>
      <c r="I1057" s="1039" t="s">
        <v>1490</v>
      </c>
      <c r="J1057" s="1039" t="s">
        <v>2203</v>
      </c>
      <c r="K1057" s="1037" t="s">
        <v>200</v>
      </c>
    </row>
    <row r="1058" spans="1:11" s="500" customFormat="1" ht="30" hidden="1">
      <c r="A1058" s="1034"/>
      <c r="B1058" s="1036"/>
      <c r="C1058" s="1038"/>
      <c r="D1058" s="1038"/>
      <c r="E1058" s="1038"/>
      <c r="F1058" s="1038"/>
      <c r="G1058" s="1038"/>
      <c r="H1058" s="1038"/>
      <c r="I1058" s="1039"/>
      <c r="J1058" s="1039"/>
      <c r="K1058" s="1038"/>
    </row>
    <row r="1059" spans="1:11" s="500" customFormat="1" ht="74.25" hidden="1" customHeight="1">
      <c r="A1059" s="1102" t="s">
        <v>2174</v>
      </c>
      <c r="B1059" s="1103"/>
      <c r="C1059" s="729"/>
      <c r="D1059" s="729"/>
      <c r="E1059" s="726"/>
      <c r="F1059" s="727"/>
      <c r="G1059" s="728"/>
      <c r="H1059" s="728"/>
      <c r="I1059" s="642">
        <f>I1060+I1068+I1066</f>
        <v>65636.399999999994</v>
      </c>
      <c r="J1059" s="642">
        <f>J1060+J1068+J1066</f>
        <v>43757.599999999999</v>
      </c>
      <c r="K1059" s="642">
        <f>I1059+J1059</f>
        <v>109394</v>
      </c>
    </row>
    <row r="1060" spans="1:11" ht="75" hidden="1" customHeight="1">
      <c r="A1060" s="1011" t="s">
        <v>1541</v>
      </c>
      <c r="B1060" s="1013"/>
      <c r="C1060" s="709"/>
      <c r="D1060" s="709"/>
      <c r="E1060" s="709"/>
      <c r="F1060" s="708"/>
      <c r="G1060" s="709"/>
      <c r="H1060" s="710"/>
      <c r="I1060" s="545">
        <f>SUM(I1061:I1065)</f>
        <v>56276.4</v>
      </c>
      <c r="J1060" s="545">
        <f>SUM(J1061:J1065)</f>
        <v>37517.599999999999</v>
      </c>
      <c r="K1060" s="545">
        <f>I1060+J1060</f>
        <v>93794</v>
      </c>
    </row>
    <row r="1061" spans="1:11" s="510" customFormat="1" ht="75" hidden="1" customHeight="1">
      <c r="A1061" s="1020" t="s">
        <v>2186</v>
      </c>
      <c r="B1061" s="1022"/>
      <c r="C1061" s="714" t="s">
        <v>2175</v>
      </c>
      <c r="D1061" s="714">
        <v>7</v>
      </c>
      <c r="E1061" s="714" t="s">
        <v>2175</v>
      </c>
      <c r="F1061" s="781" t="s">
        <v>2229</v>
      </c>
      <c r="G1061" s="1047">
        <v>8100</v>
      </c>
      <c r="H1061" s="1099" t="s">
        <v>2273</v>
      </c>
      <c r="I1061" s="717">
        <f>K1061/100*60</f>
        <v>4200</v>
      </c>
      <c r="J1061" s="717">
        <f>K1061/100*40</f>
        <v>2800</v>
      </c>
      <c r="K1061" s="717">
        <v>7000</v>
      </c>
    </row>
    <row r="1062" spans="1:11" s="510" customFormat="1" ht="75" hidden="1" customHeight="1">
      <c r="A1062" s="1020" t="s">
        <v>2187</v>
      </c>
      <c r="B1062" s="1022"/>
      <c r="C1062" s="714" t="s">
        <v>1621</v>
      </c>
      <c r="D1062" s="714">
        <v>5</v>
      </c>
      <c r="E1062" s="714" t="s">
        <v>2176</v>
      </c>
      <c r="F1062" s="780" t="s">
        <v>2236</v>
      </c>
      <c r="G1062" s="1048"/>
      <c r="H1062" s="1100"/>
      <c r="I1062" s="717">
        <f>K1062/100*60</f>
        <v>17856</v>
      </c>
      <c r="J1062" s="717">
        <f>K1062/100*40</f>
        <v>11904</v>
      </c>
      <c r="K1062" s="717">
        <v>29760</v>
      </c>
    </row>
    <row r="1063" spans="1:11" s="510" customFormat="1" ht="74.25" hidden="1" customHeight="1">
      <c r="A1063" s="1020" t="s">
        <v>2188</v>
      </c>
      <c r="B1063" s="1022"/>
      <c r="C1063" s="714" t="s">
        <v>2177</v>
      </c>
      <c r="D1063" s="714">
        <v>3</v>
      </c>
      <c r="E1063" s="714" t="s">
        <v>2178</v>
      </c>
      <c r="F1063" s="781" t="s">
        <v>2230</v>
      </c>
      <c r="G1063" s="1048"/>
      <c r="H1063" s="1100"/>
      <c r="I1063" s="717">
        <f>K1063/100*60</f>
        <v>16142.400000000001</v>
      </c>
      <c r="J1063" s="717">
        <f>K1063/100*40</f>
        <v>10761.6</v>
      </c>
      <c r="K1063" s="717">
        <v>26904</v>
      </c>
    </row>
    <row r="1064" spans="1:11" s="510" customFormat="1" ht="75" hidden="1" customHeight="1">
      <c r="A1064" s="1020" t="s">
        <v>1840</v>
      </c>
      <c r="B1064" s="1022"/>
      <c r="C1064" s="714" t="s">
        <v>2179</v>
      </c>
      <c r="D1064" s="714">
        <v>10</v>
      </c>
      <c r="E1064" s="714" t="s">
        <v>2180</v>
      </c>
      <c r="F1064" s="1044" t="s">
        <v>2231</v>
      </c>
      <c r="G1064" s="1048"/>
      <c r="H1064" s="1100"/>
      <c r="I1064" s="717">
        <f>K1064/100*60</f>
        <v>9078</v>
      </c>
      <c r="J1064" s="717">
        <f>K1064/100*40</f>
        <v>6052</v>
      </c>
      <c r="K1064" s="717">
        <v>15130</v>
      </c>
    </row>
    <row r="1065" spans="1:11" s="510" customFormat="1" ht="75" hidden="1" customHeight="1">
      <c r="A1065" s="1020" t="s">
        <v>2189</v>
      </c>
      <c r="B1065" s="1022"/>
      <c r="C1065" s="714" t="s">
        <v>2181</v>
      </c>
      <c r="D1065" s="714">
        <v>45</v>
      </c>
      <c r="E1065" s="714" t="s">
        <v>2182</v>
      </c>
      <c r="F1065" s="1046"/>
      <c r="G1065" s="1048"/>
      <c r="H1065" s="1100"/>
      <c r="I1065" s="717">
        <f>K1065/100*60</f>
        <v>9000</v>
      </c>
      <c r="J1065" s="717">
        <f>K1065/100*40</f>
        <v>6000</v>
      </c>
      <c r="K1065" s="717">
        <v>15000</v>
      </c>
    </row>
    <row r="1066" spans="1:11" ht="74.25" hidden="1" customHeight="1">
      <c r="A1066" s="1011" t="s">
        <v>278</v>
      </c>
      <c r="B1066" s="1013"/>
      <c r="C1066" s="504"/>
      <c r="D1066" s="709"/>
      <c r="E1066" s="709"/>
      <c r="F1066" s="708"/>
      <c r="G1066" s="709"/>
      <c r="H1066" s="710"/>
      <c r="I1066" s="545">
        <f>SUM(I1067)</f>
        <v>3960</v>
      </c>
      <c r="J1066" s="545">
        <f>SUM(J1067)</f>
        <v>2640</v>
      </c>
      <c r="K1066" s="545">
        <f>I1066+J1066</f>
        <v>6600</v>
      </c>
    </row>
    <row r="1067" spans="1:11" s="510" customFormat="1" ht="74.25" hidden="1" customHeight="1">
      <c r="A1067" s="1020" t="s">
        <v>2004</v>
      </c>
      <c r="B1067" s="1022"/>
      <c r="C1067" s="714" t="s">
        <v>1215</v>
      </c>
      <c r="D1067" s="714">
        <v>5</v>
      </c>
      <c r="E1067" s="725" t="s">
        <v>2183</v>
      </c>
      <c r="F1067" s="777" t="s">
        <v>2234</v>
      </c>
      <c r="G1067" s="711">
        <v>8100</v>
      </c>
      <c r="H1067" s="794" t="s">
        <v>2445</v>
      </c>
      <c r="I1067" s="717">
        <f>K1067/100*60</f>
        <v>3960</v>
      </c>
      <c r="J1067" s="717">
        <f>K1067/100*40</f>
        <v>2640</v>
      </c>
      <c r="K1067" s="717">
        <v>6600</v>
      </c>
    </row>
    <row r="1068" spans="1:11" ht="73.5" hidden="1" customHeight="1">
      <c r="A1068" s="1011" t="s">
        <v>312</v>
      </c>
      <c r="B1068" s="1013"/>
      <c r="C1068" s="709"/>
      <c r="D1068" s="709"/>
      <c r="E1068" s="709"/>
      <c r="F1068" s="708"/>
      <c r="G1068" s="709"/>
      <c r="H1068" s="710"/>
      <c r="I1068" s="545">
        <f>SUM(I1069:I1069)</f>
        <v>5400</v>
      </c>
      <c r="J1068" s="545">
        <f>SUM(J1069:J1069)</f>
        <v>3600</v>
      </c>
      <c r="K1068" s="545">
        <f>I1068+J1068</f>
        <v>9000</v>
      </c>
    </row>
    <row r="1069" spans="1:11" s="510" customFormat="1" ht="74.25" hidden="1" customHeight="1">
      <c r="A1069" s="1020" t="s">
        <v>2190</v>
      </c>
      <c r="B1069" s="1022"/>
      <c r="C1069" s="714" t="s">
        <v>2184</v>
      </c>
      <c r="D1069" s="714">
        <v>2</v>
      </c>
      <c r="E1069" s="714" t="s">
        <v>2185</v>
      </c>
      <c r="F1069" s="777" t="s">
        <v>2224</v>
      </c>
      <c r="G1069" s="745">
        <v>8100</v>
      </c>
      <c r="H1069" s="782" t="s">
        <v>2273</v>
      </c>
      <c r="I1069" s="717">
        <f>K1069/100*60</f>
        <v>5400</v>
      </c>
      <c r="J1069" s="717">
        <f>K1069/100*40</f>
        <v>3600</v>
      </c>
      <c r="K1069" s="717">
        <v>9000</v>
      </c>
    </row>
    <row r="1070" spans="1:11" s="743" customFormat="1" ht="36.75" hidden="1" customHeight="1">
      <c r="A1070" s="1135"/>
      <c r="B1070" s="1136"/>
      <c r="C1070" s="738"/>
      <c r="D1070" s="738"/>
      <c r="E1070" s="739"/>
      <c r="F1070" s="740"/>
      <c r="G1070" s="741"/>
      <c r="H1070" s="741"/>
      <c r="I1070" s="742"/>
      <c r="J1070" s="742"/>
      <c r="K1070" s="742"/>
    </row>
    <row r="1071" spans="1:11" ht="66" hidden="1" customHeight="1">
      <c r="A1071" s="1031" t="s">
        <v>37</v>
      </c>
      <c r="B1071" s="1033"/>
      <c r="C1071" s="1037" t="s">
        <v>178</v>
      </c>
      <c r="D1071" s="1037" t="s">
        <v>179</v>
      </c>
      <c r="E1071" s="1037" t="s">
        <v>1521</v>
      </c>
      <c r="F1071" s="1037" t="s">
        <v>14</v>
      </c>
      <c r="G1071" s="1037" t="s">
        <v>1515</v>
      </c>
      <c r="H1071" s="1037" t="s">
        <v>16</v>
      </c>
      <c r="I1071" s="1039" t="s">
        <v>1490</v>
      </c>
      <c r="J1071" s="1039" t="s">
        <v>2203</v>
      </c>
      <c r="K1071" s="1037" t="s">
        <v>200</v>
      </c>
    </row>
    <row r="1072" spans="1:11" s="500" customFormat="1" ht="30" hidden="1">
      <c r="A1072" s="1034"/>
      <c r="B1072" s="1036"/>
      <c r="C1072" s="1038"/>
      <c r="D1072" s="1038"/>
      <c r="E1072" s="1038"/>
      <c r="F1072" s="1038"/>
      <c r="G1072" s="1038"/>
      <c r="H1072" s="1038"/>
      <c r="I1072" s="1039"/>
      <c r="J1072" s="1039"/>
      <c r="K1072" s="1038"/>
    </row>
    <row r="1073" spans="1:11" s="500" customFormat="1" ht="74.25" hidden="1" customHeight="1">
      <c r="A1073" s="1102" t="s">
        <v>2003</v>
      </c>
      <c r="B1073" s="1103"/>
      <c r="C1073" s="729"/>
      <c r="D1073" s="729"/>
      <c r="E1073" s="726"/>
      <c r="F1073" s="727"/>
      <c r="G1073" s="728"/>
      <c r="H1073" s="728"/>
      <c r="I1073" s="642">
        <f>I1077+I1086+I1074+I1084</f>
        <v>215945.4</v>
      </c>
      <c r="J1073" s="642">
        <f>J1077+J1086+J1074+J1084</f>
        <v>143963.6</v>
      </c>
      <c r="K1073" s="642">
        <f>I1073+J1073</f>
        <v>359909</v>
      </c>
    </row>
    <row r="1074" spans="1:11" s="579" customFormat="1" ht="73.5" hidden="1" customHeight="1">
      <c r="A1074" s="1011" t="s">
        <v>2251</v>
      </c>
      <c r="B1074" s="1012"/>
      <c r="C1074" s="1012"/>
      <c r="D1074" s="1012"/>
      <c r="E1074" s="1012"/>
      <c r="F1074" s="1013"/>
      <c r="G1074" s="709"/>
      <c r="H1074" s="710"/>
      <c r="I1074" s="545">
        <f>SUM(I1075:I1076)</f>
        <v>35784</v>
      </c>
      <c r="J1074" s="545">
        <f>SUM(J1075:J1076)</f>
        <v>23856</v>
      </c>
      <c r="K1074" s="545">
        <f>I1074+J1074</f>
        <v>59640</v>
      </c>
    </row>
    <row r="1075" spans="1:11" s="510" customFormat="1" ht="74.25" hidden="1" customHeight="1">
      <c r="A1075" s="1020" t="s">
        <v>2005</v>
      </c>
      <c r="B1075" s="1022"/>
      <c r="C1075" s="714" t="s">
        <v>147</v>
      </c>
      <c r="D1075" s="714">
        <v>160</v>
      </c>
      <c r="E1075" s="714" t="s">
        <v>2014</v>
      </c>
      <c r="F1075" s="781" t="s">
        <v>2269</v>
      </c>
      <c r="G1075" s="1047">
        <v>8100</v>
      </c>
      <c r="H1075" s="1099" t="s">
        <v>2273</v>
      </c>
      <c r="I1075" s="717">
        <f>K1075/100*60</f>
        <v>24378</v>
      </c>
      <c r="J1075" s="717">
        <f>K1075/100*40</f>
        <v>16252</v>
      </c>
      <c r="K1075" s="717">
        <v>40630</v>
      </c>
    </row>
    <row r="1076" spans="1:11" s="510" customFormat="1" ht="74.25" hidden="1" customHeight="1">
      <c r="A1076" s="1020" t="s">
        <v>2006</v>
      </c>
      <c r="B1076" s="1022"/>
      <c r="C1076" s="714" t="s">
        <v>147</v>
      </c>
      <c r="D1076" s="714">
        <v>40</v>
      </c>
      <c r="E1076" s="714" t="s">
        <v>2014</v>
      </c>
      <c r="F1076" s="781" t="s">
        <v>2270</v>
      </c>
      <c r="G1076" s="1048"/>
      <c r="H1076" s="1100"/>
      <c r="I1076" s="717">
        <f>K1076/100*60</f>
        <v>11406</v>
      </c>
      <c r="J1076" s="717">
        <f>K1076/100*40</f>
        <v>7604</v>
      </c>
      <c r="K1076" s="717">
        <v>19010</v>
      </c>
    </row>
    <row r="1077" spans="1:11" ht="75" hidden="1" customHeight="1">
      <c r="A1077" s="1011" t="s">
        <v>1541</v>
      </c>
      <c r="B1077" s="1013"/>
      <c r="C1077" s="709"/>
      <c r="D1077" s="709"/>
      <c r="E1077" s="709"/>
      <c r="F1077" s="708"/>
      <c r="G1077" s="709"/>
      <c r="H1077" s="710"/>
      <c r="I1077" s="545">
        <f>SUM(I1078:I1083)</f>
        <v>143924.4</v>
      </c>
      <c r="J1077" s="545">
        <f>SUM(J1078:J1083)</f>
        <v>95949.6</v>
      </c>
      <c r="K1077" s="545">
        <f>I1077+J1077</f>
        <v>239874</v>
      </c>
    </row>
    <row r="1078" spans="1:11" s="510" customFormat="1" ht="75" hidden="1" customHeight="1">
      <c r="A1078" s="1020" t="s">
        <v>2007</v>
      </c>
      <c r="B1078" s="1022"/>
      <c r="C1078" s="714" t="s">
        <v>2015</v>
      </c>
      <c r="D1078" s="714">
        <v>4</v>
      </c>
      <c r="E1078" s="714" t="s">
        <v>2022</v>
      </c>
      <c r="F1078" s="1044" t="s">
        <v>2229</v>
      </c>
      <c r="G1078" s="1047">
        <v>8100</v>
      </c>
      <c r="H1078" s="1099" t="s">
        <v>2273</v>
      </c>
      <c r="I1078" s="717">
        <f t="shared" ref="I1078:I1083" si="41">K1078/100*60</f>
        <v>12000</v>
      </c>
      <c r="J1078" s="717">
        <f t="shared" ref="J1078:J1083" si="42">K1078/100*40</f>
        <v>8000</v>
      </c>
      <c r="K1078" s="717">
        <v>20000</v>
      </c>
    </row>
    <row r="1079" spans="1:11" s="510" customFormat="1" ht="74.25" hidden="1" customHeight="1">
      <c r="A1079" s="1020" t="s">
        <v>2008</v>
      </c>
      <c r="B1079" s="1022"/>
      <c r="C1079" s="714" t="s">
        <v>2016</v>
      </c>
      <c r="D1079" s="714">
        <v>10</v>
      </c>
      <c r="E1079" s="714" t="s">
        <v>2023</v>
      </c>
      <c r="F1079" s="1045"/>
      <c r="G1079" s="1048"/>
      <c r="H1079" s="1100"/>
      <c r="I1079" s="717">
        <f t="shared" si="41"/>
        <v>1724.3999999999999</v>
      </c>
      <c r="J1079" s="717">
        <f t="shared" si="42"/>
        <v>1149.5999999999999</v>
      </c>
      <c r="K1079" s="717">
        <v>2874</v>
      </c>
    </row>
    <row r="1080" spans="1:11" s="510" customFormat="1" ht="75" hidden="1" customHeight="1">
      <c r="A1080" s="1020" t="s">
        <v>2010</v>
      </c>
      <c r="B1080" s="1022"/>
      <c r="C1080" s="714" t="s">
        <v>2017</v>
      </c>
      <c r="D1080" s="714">
        <v>200</v>
      </c>
      <c r="E1080" s="714" t="s">
        <v>2024</v>
      </c>
      <c r="F1080" s="1046"/>
      <c r="G1080" s="1048"/>
      <c r="H1080" s="1100"/>
      <c r="I1080" s="717">
        <f t="shared" si="41"/>
        <v>28200</v>
      </c>
      <c r="J1080" s="717">
        <f t="shared" si="42"/>
        <v>18800</v>
      </c>
      <c r="K1080" s="717">
        <v>47000</v>
      </c>
    </row>
    <row r="1081" spans="1:11" s="510" customFormat="1" ht="75" hidden="1" customHeight="1">
      <c r="A1081" s="1020" t="s">
        <v>2009</v>
      </c>
      <c r="B1081" s="1022"/>
      <c r="C1081" s="714" t="s">
        <v>2018</v>
      </c>
      <c r="D1081" s="714">
        <v>80</v>
      </c>
      <c r="E1081" s="714" t="s">
        <v>2022</v>
      </c>
      <c r="F1081" s="781" t="s">
        <v>2230</v>
      </c>
      <c r="G1081" s="1048"/>
      <c r="H1081" s="1100"/>
      <c r="I1081" s="717">
        <f t="shared" si="41"/>
        <v>42000</v>
      </c>
      <c r="J1081" s="717">
        <f t="shared" si="42"/>
        <v>28000</v>
      </c>
      <c r="K1081" s="717">
        <v>70000</v>
      </c>
    </row>
    <row r="1082" spans="1:11" s="510" customFormat="1" ht="75" hidden="1" customHeight="1">
      <c r="A1082" s="1020" t="s">
        <v>2011</v>
      </c>
      <c r="B1082" s="1022"/>
      <c r="C1082" s="714" t="s">
        <v>2019</v>
      </c>
      <c r="D1082" s="714">
        <v>170</v>
      </c>
      <c r="E1082" s="714" t="s">
        <v>2025</v>
      </c>
      <c r="F1082" s="1044" t="s">
        <v>2231</v>
      </c>
      <c r="G1082" s="1048"/>
      <c r="H1082" s="1100"/>
      <c r="I1082" s="717">
        <f t="shared" si="41"/>
        <v>30000</v>
      </c>
      <c r="J1082" s="717">
        <f t="shared" si="42"/>
        <v>20000</v>
      </c>
      <c r="K1082" s="717">
        <v>50000</v>
      </c>
    </row>
    <row r="1083" spans="1:11" s="510" customFormat="1" ht="75" hidden="1" customHeight="1">
      <c r="A1083" s="1020" t="s">
        <v>1840</v>
      </c>
      <c r="B1083" s="1022"/>
      <c r="C1083" s="714" t="s">
        <v>2020</v>
      </c>
      <c r="D1083" s="714">
        <v>20</v>
      </c>
      <c r="E1083" s="714" t="s">
        <v>2026</v>
      </c>
      <c r="F1083" s="1046"/>
      <c r="G1083" s="1049"/>
      <c r="H1083" s="1101"/>
      <c r="I1083" s="717">
        <f t="shared" si="41"/>
        <v>30000</v>
      </c>
      <c r="J1083" s="717">
        <f t="shared" si="42"/>
        <v>20000</v>
      </c>
      <c r="K1083" s="717">
        <v>50000</v>
      </c>
    </row>
    <row r="1084" spans="1:11" ht="74.25" hidden="1" customHeight="1">
      <c r="A1084" s="1011" t="s">
        <v>278</v>
      </c>
      <c r="B1084" s="1013"/>
      <c r="C1084" s="504"/>
      <c r="D1084" s="709"/>
      <c r="E1084" s="709"/>
      <c r="F1084" s="708"/>
      <c r="G1084" s="709"/>
      <c r="H1084" s="710"/>
      <c r="I1084" s="545">
        <f>SUM(I1085)</f>
        <v>18000</v>
      </c>
      <c r="J1084" s="545">
        <f>SUM(J1085)</f>
        <v>12000</v>
      </c>
      <c r="K1084" s="545">
        <f>I1084+J1084</f>
        <v>30000</v>
      </c>
    </row>
    <row r="1085" spans="1:11" s="510" customFormat="1" ht="74.25" hidden="1" customHeight="1">
      <c r="A1085" s="1020" t="s">
        <v>2004</v>
      </c>
      <c r="B1085" s="1022"/>
      <c r="C1085" s="714" t="s">
        <v>1215</v>
      </c>
      <c r="D1085" s="714">
        <v>30</v>
      </c>
      <c r="E1085" s="725" t="s">
        <v>2027</v>
      </c>
      <c r="F1085" s="777" t="s">
        <v>2234</v>
      </c>
      <c r="G1085" s="711">
        <v>8100</v>
      </c>
      <c r="H1085" s="794" t="s">
        <v>2445</v>
      </c>
      <c r="I1085" s="717">
        <f>K1085/100*60</f>
        <v>18000</v>
      </c>
      <c r="J1085" s="717">
        <f>K1085/100*40</f>
        <v>12000</v>
      </c>
      <c r="K1085" s="717">
        <v>30000</v>
      </c>
    </row>
    <row r="1086" spans="1:11" ht="73.5" hidden="1" customHeight="1">
      <c r="A1086" s="1011" t="s">
        <v>312</v>
      </c>
      <c r="B1086" s="1013"/>
      <c r="C1086" s="709"/>
      <c r="D1086" s="709"/>
      <c r="E1086" s="709"/>
      <c r="F1086" s="708"/>
      <c r="G1086" s="709"/>
      <c r="H1086" s="710"/>
      <c r="I1086" s="545">
        <f>SUM(I1087:I1088)</f>
        <v>18237</v>
      </c>
      <c r="J1086" s="545">
        <f>SUM(J1087:J1088)</f>
        <v>12158</v>
      </c>
      <c r="K1086" s="545">
        <f>I1086+J1086</f>
        <v>30395</v>
      </c>
    </row>
    <row r="1087" spans="1:11" s="510" customFormat="1" ht="74.25" hidden="1" customHeight="1">
      <c r="A1087" s="1020" t="s">
        <v>2012</v>
      </c>
      <c r="B1087" s="1022"/>
      <c r="C1087" s="714" t="s">
        <v>2018</v>
      </c>
      <c r="D1087" s="714">
        <v>30</v>
      </c>
      <c r="E1087" s="714" t="s">
        <v>2028</v>
      </c>
      <c r="F1087" s="1044" t="s">
        <v>2224</v>
      </c>
      <c r="G1087" s="1047">
        <v>8100</v>
      </c>
      <c r="H1087" s="1099" t="s">
        <v>2273</v>
      </c>
      <c r="I1087" s="717">
        <f>K1087/100*60</f>
        <v>9000</v>
      </c>
      <c r="J1087" s="717">
        <f>K1087/100*40</f>
        <v>6000</v>
      </c>
      <c r="K1087" s="717">
        <v>15000</v>
      </c>
    </row>
    <row r="1088" spans="1:11" s="510" customFormat="1" ht="74.25" hidden="1" customHeight="1">
      <c r="A1088" s="1020" t="s">
        <v>2013</v>
      </c>
      <c r="B1088" s="1022"/>
      <c r="C1088" s="714" t="s">
        <v>2021</v>
      </c>
      <c r="D1088" s="714">
        <v>10</v>
      </c>
      <c r="E1088" s="714" t="s">
        <v>2029</v>
      </c>
      <c r="F1088" s="1046"/>
      <c r="G1088" s="1049"/>
      <c r="H1088" s="1101"/>
      <c r="I1088" s="717">
        <f>K1088/100*60</f>
        <v>9237</v>
      </c>
      <c r="J1088" s="717">
        <f>K1088/100*40</f>
        <v>6158</v>
      </c>
      <c r="K1088" s="717">
        <v>15395</v>
      </c>
    </row>
    <row r="1089" spans="1:11" ht="106.5" hidden="1" customHeight="1">
      <c r="A1089" s="1141"/>
      <c r="B1089" s="1141"/>
      <c r="C1089" s="1141"/>
      <c r="D1089" s="1141"/>
      <c r="E1089" s="1141"/>
      <c r="F1089" s="1141"/>
      <c r="G1089" s="1141"/>
      <c r="H1089" s="1141"/>
      <c r="I1089" s="1141"/>
      <c r="J1089" s="1141"/>
      <c r="K1089" s="1141"/>
    </row>
    <row r="1090" spans="1:11" ht="36.75" hidden="1" customHeight="1">
      <c r="A1090" s="753"/>
      <c r="B1090" s="753"/>
      <c r="C1090" s="753"/>
      <c r="D1090" s="753"/>
      <c r="E1090" s="753"/>
      <c r="F1090" s="753"/>
      <c r="G1090" s="753"/>
      <c r="H1090" s="753"/>
      <c r="I1090" s="753"/>
      <c r="J1090" s="753"/>
      <c r="K1090" s="753"/>
    </row>
    <row r="1091" spans="1:11" ht="36.75" hidden="1" customHeight="1">
      <c r="A1091" s="753"/>
      <c r="B1091" s="753"/>
      <c r="C1091" s="753"/>
      <c r="D1091" s="753"/>
      <c r="E1091" s="753"/>
      <c r="F1091" s="753"/>
      <c r="G1091" s="753"/>
      <c r="H1091" s="753"/>
      <c r="I1091" s="753"/>
      <c r="J1091" s="753"/>
      <c r="K1091" s="753"/>
    </row>
    <row r="1092" spans="1:11" ht="34.5" hidden="1" customHeight="1">
      <c r="A1092" s="1128" t="s">
        <v>51</v>
      </c>
      <c r="B1092" s="1128"/>
      <c r="C1092" s="1128"/>
      <c r="D1092" s="1128"/>
      <c r="E1092" s="1128"/>
      <c r="F1092" s="1128"/>
      <c r="G1092" s="1128"/>
      <c r="H1092" s="1128"/>
      <c r="I1092" s="1128"/>
      <c r="J1092" s="1128"/>
      <c r="K1092" s="1128"/>
    </row>
    <row r="1093" spans="1:11" ht="30.75" hidden="1" customHeight="1">
      <c r="A1093" s="1128" t="s">
        <v>52</v>
      </c>
      <c r="B1093" s="1128"/>
      <c r="C1093" s="1128"/>
      <c r="D1093" s="1128"/>
      <c r="E1093" s="1128"/>
      <c r="F1093" s="1128"/>
      <c r="G1093" s="1128"/>
      <c r="H1093" s="1128"/>
      <c r="I1093" s="1128"/>
      <c r="J1093" s="1128"/>
      <c r="K1093" s="1128"/>
    </row>
    <row r="1094" spans="1:11" ht="33" hidden="1" customHeight="1">
      <c r="A1094" s="1132" t="s">
        <v>50</v>
      </c>
      <c r="B1094" s="1132"/>
      <c r="C1094" s="1132"/>
      <c r="D1094" s="1132"/>
      <c r="E1094" s="1132"/>
      <c r="F1094" s="1132"/>
      <c r="G1094" s="1132"/>
      <c r="H1094" s="1132"/>
      <c r="I1094" s="1132"/>
      <c r="J1094" s="1132"/>
      <c r="K1094" s="1132"/>
    </row>
    <row r="1095" spans="1:11" ht="33" hidden="1" customHeight="1">
      <c r="A1095" s="154"/>
      <c r="B1095" s="154"/>
      <c r="C1095" s="154"/>
      <c r="D1095" s="154"/>
      <c r="E1095" s="154"/>
      <c r="F1095" s="154"/>
      <c r="G1095" s="707"/>
      <c r="H1095" s="707"/>
      <c r="I1095" s="707"/>
      <c r="J1095" s="707"/>
      <c r="K1095" s="707"/>
    </row>
    <row r="1096" spans="1:11" ht="35.25" hidden="1">
      <c r="A1096" s="1128" t="s">
        <v>1336</v>
      </c>
      <c r="B1096" s="1128"/>
      <c r="C1096" s="1128"/>
      <c r="D1096" s="1128"/>
      <c r="E1096" s="1128"/>
      <c r="F1096" s="1128"/>
      <c r="G1096" s="1128"/>
      <c r="H1096" s="1128"/>
      <c r="I1096" s="1128"/>
      <c r="J1096" s="1128"/>
      <c r="K1096" s="1128"/>
    </row>
    <row r="1097" spans="1:11" s="620" customFormat="1" ht="33" hidden="1">
      <c r="A1097" s="65"/>
      <c r="B1097" s="65"/>
      <c r="C1097" s="65"/>
      <c r="D1097" s="65"/>
      <c r="E1097" s="65"/>
      <c r="F1097" s="65"/>
      <c r="G1097" s="68"/>
      <c r="H1097" s="68"/>
      <c r="I1097" s="68"/>
      <c r="J1097" s="68"/>
      <c r="K1097" s="68"/>
    </row>
    <row r="1098" spans="1:11" ht="20.100000000000001" hidden="1" customHeight="1">
      <c r="A1098" s="65"/>
      <c r="B1098" s="65"/>
      <c r="C1098" s="65"/>
      <c r="D1098" s="65"/>
      <c r="E1098" s="65"/>
      <c r="F1098" s="65"/>
      <c r="G1098" s="68"/>
      <c r="H1098" s="68"/>
      <c r="I1098" s="68"/>
      <c r="J1098" s="68"/>
      <c r="K1098" s="68"/>
    </row>
    <row r="1099" spans="1:11" ht="20.100000000000001" hidden="1" customHeight="1">
      <c r="A1099" s="979"/>
      <c r="B1099" s="979"/>
      <c r="C1099" s="979"/>
      <c r="D1099" s="979"/>
      <c r="E1099" s="979"/>
      <c r="F1099" s="979"/>
      <c r="G1099" s="979"/>
      <c r="H1099" s="979"/>
      <c r="I1099" s="979"/>
      <c r="J1099" s="979"/>
      <c r="K1099" s="979"/>
    </row>
    <row r="1100" spans="1:11" ht="45.75" hidden="1" customHeight="1">
      <c r="A1100" s="1030" t="s">
        <v>1383</v>
      </c>
      <c r="B1100" s="1030"/>
      <c r="C1100" s="1030"/>
      <c r="D1100" s="1030"/>
      <c r="E1100" s="1030"/>
      <c r="F1100" s="1030"/>
      <c r="G1100" s="1030"/>
      <c r="H1100" s="1030"/>
      <c r="I1100" s="1030"/>
      <c r="J1100" s="1030"/>
      <c r="K1100" s="1030"/>
    </row>
    <row r="1101" spans="1:11" ht="66" hidden="1" customHeight="1">
      <c r="A1101" s="1031" t="s">
        <v>37</v>
      </c>
      <c r="B1101" s="1033"/>
      <c r="C1101" s="1037" t="s">
        <v>178</v>
      </c>
      <c r="D1101" s="1037" t="s">
        <v>179</v>
      </c>
      <c r="E1101" s="1037" t="s">
        <v>1521</v>
      </c>
      <c r="F1101" s="1037" t="s">
        <v>14</v>
      </c>
      <c r="G1101" s="1037" t="s">
        <v>1515</v>
      </c>
      <c r="H1101" s="1037" t="s">
        <v>16</v>
      </c>
      <c r="I1101" s="1039" t="s">
        <v>1490</v>
      </c>
      <c r="J1101" s="1039" t="s">
        <v>2203</v>
      </c>
      <c r="K1101" s="1037" t="s">
        <v>200</v>
      </c>
    </row>
    <row r="1102" spans="1:11" s="500" customFormat="1" ht="30" hidden="1">
      <c r="A1102" s="1034"/>
      <c r="B1102" s="1036"/>
      <c r="C1102" s="1038"/>
      <c r="D1102" s="1038"/>
      <c r="E1102" s="1038"/>
      <c r="F1102" s="1038"/>
      <c r="G1102" s="1038"/>
      <c r="H1102" s="1038"/>
      <c r="I1102" s="1039"/>
      <c r="J1102" s="1039"/>
      <c r="K1102" s="1038"/>
    </row>
    <row r="1103" spans="1:11" s="500" customFormat="1" ht="74.25" hidden="1" customHeight="1">
      <c r="A1103" s="1102" t="s">
        <v>2082</v>
      </c>
      <c r="B1103" s="1103"/>
      <c r="C1103" s="729"/>
      <c r="D1103" s="729"/>
      <c r="E1103" s="726"/>
      <c r="F1103" s="727"/>
      <c r="G1103" s="728"/>
      <c r="H1103" s="728"/>
      <c r="I1103" s="642">
        <f>I1108+I1117+I1104+I1115</f>
        <v>280201.8</v>
      </c>
      <c r="J1103" s="642">
        <f>J1108+J1117+J1104+J1115</f>
        <v>186801.2</v>
      </c>
      <c r="K1103" s="642">
        <f>I1103+J1103</f>
        <v>467003</v>
      </c>
    </row>
    <row r="1104" spans="1:11" s="579" customFormat="1" ht="73.5" hidden="1" customHeight="1">
      <c r="A1104" s="1011" t="s">
        <v>2251</v>
      </c>
      <c r="B1104" s="1012"/>
      <c r="C1104" s="1012"/>
      <c r="D1104" s="1012"/>
      <c r="E1104" s="1012"/>
      <c r="F1104" s="1013"/>
      <c r="G1104" s="709"/>
      <c r="H1104" s="710"/>
      <c r="I1104" s="545">
        <f>SUM(I1105:I1107)</f>
        <v>103200</v>
      </c>
      <c r="J1104" s="545">
        <f>SUM(J1105:J1107)</f>
        <v>68800</v>
      </c>
      <c r="K1104" s="545">
        <f>I1104+J1104</f>
        <v>172000</v>
      </c>
    </row>
    <row r="1105" spans="1:11" s="510" customFormat="1" ht="74.25" hidden="1" customHeight="1">
      <c r="A1105" s="1020" t="s">
        <v>2098</v>
      </c>
      <c r="B1105" s="1022"/>
      <c r="C1105" s="714" t="s">
        <v>147</v>
      </c>
      <c r="D1105" s="714">
        <v>80</v>
      </c>
      <c r="E1105" s="714" t="s">
        <v>2101</v>
      </c>
      <c r="F1105" s="781" t="s">
        <v>2271</v>
      </c>
      <c r="G1105" s="1047">
        <v>8100</v>
      </c>
      <c r="H1105" s="1099" t="s">
        <v>2273</v>
      </c>
      <c r="I1105" s="717">
        <f>K1105/100*60</f>
        <v>24600</v>
      </c>
      <c r="J1105" s="717">
        <f>K1105/100*40</f>
        <v>16400</v>
      </c>
      <c r="K1105" s="717">
        <v>41000</v>
      </c>
    </row>
    <row r="1106" spans="1:11" s="510" customFormat="1" ht="74.25" hidden="1" customHeight="1">
      <c r="A1106" s="1020" t="s">
        <v>2099</v>
      </c>
      <c r="B1106" s="1022"/>
      <c r="C1106" s="714" t="s">
        <v>147</v>
      </c>
      <c r="D1106" s="714">
        <v>80</v>
      </c>
      <c r="E1106" s="714" t="s">
        <v>2101</v>
      </c>
      <c r="F1106" s="781" t="s">
        <v>2272</v>
      </c>
      <c r="G1106" s="1048"/>
      <c r="H1106" s="1100"/>
      <c r="I1106" s="717">
        <f>K1106/100*60</f>
        <v>24600</v>
      </c>
      <c r="J1106" s="717">
        <f>K1106/100*40</f>
        <v>16400</v>
      </c>
      <c r="K1106" s="717">
        <v>41000</v>
      </c>
    </row>
    <row r="1107" spans="1:11" s="510" customFormat="1" ht="74.25" hidden="1" customHeight="1">
      <c r="A1107" s="1020" t="s">
        <v>2100</v>
      </c>
      <c r="B1107" s="1022"/>
      <c r="C1107" s="714" t="s">
        <v>147</v>
      </c>
      <c r="D1107" s="714">
        <v>150</v>
      </c>
      <c r="E1107" s="714" t="s">
        <v>2101</v>
      </c>
      <c r="F1107" s="781" t="s">
        <v>2276</v>
      </c>
      <c r="G1107" s="1048"/>
      <c r="H1107" s="1100"/>
      <c r="I1107" s="717">
        <f>K1107/100*60</f>
        <v>54000</v>
      </c>
      <c r="J1107" s="717">
        <f>K1107/100*40</f>
        <v>36000</v>
      </c>
      <c r="K1107" s="717">
        <v>90000</v>
      </c>
    </row>
    <row r="1108" spans="1:11" ht="75" hidden="1" customHeight="1">
      <c r="A1108" s="1011" t="s">
        <v>1541</v>
      </c>
      <c r="B1108" s="1013"/>
      <c r="C1108" s="709"/>
      <c r="D1108" s="709"/>
      <c r="E1108" s="709"/>
      <c r="F1108" s="708"/>
      <c r="G1108" s="709"/>
      <c r="H1108" s="710"/>
      <c r="I1108" s="545">
        <f>SUM(I1109:I1114)</f>
        <v>153001.79999999999</v>
      </c>
      <c r="J1108" s="545">
        <f>SUM(J1109:J1114)</f>
        <v>102001.2</v>
      </c>
      <c r="K1108" s="545">
        <f>I1108+J1108</f>
        <v>255003</v>
      </c>
    </row>
    <row r="1109" spans="1:11" s="510" customFormat="1" ht="74.25" hidden="1" customHeight="1">
      <c r="A1109" s="1020" t="s">
        <v>2112</v>
      </c>
      <c r="B1109" s="1022"/>
      <c r="C1109" s="714" t="s">
        <v>2103</v>
      </c>
      <c r="D1109" s="714">
        <v>5</v>
      </c>
      <c r="E1109" s="714" t="s">
        <v>2104</v>
      </c>
      <c r="F1109" s="1044" t="s">
        <v>2229</v>
      </c>
      <c r="G1109" s="1047">
        <v>8100</v>
      </c>
      <c r="H1109" s="1099" t="s">
        <v>2273</v>
      </c>
      <c r="I1109" s="717">
        <f t="shared" ref="I1109:I1114" si="43">K1109/100*60</f>
        <v>33000</v>
      </c>
      <c r="J1109" s="717">
        <f t="shared" ref="J1109:J1114" si="44">K1109/100*40</f>
        <v>22000</v>
      </c>
      <c r="K1109" s="717">
        <v>55000</v>
      </c>
    </row>
    <row r="1110" spans="1:11" s="510" customFormat="1" ht="75" hidden="1" customHeight="1">
      <c r="A1110" s="1020" t="s">
        <v>2113</v>
      </c>
      <c r="B1110" s="1022"/>
      <c r="C1110" s="714" t="s">
        <v>2103</v>
      </c>
      <c r="D1110" s="714">
        <v>20</v>
      </c>
      <c r="E1110" s="714" t="s">
        <v>2104</v>
      </c>
      <c r="F1110" s="1045"/>
      <c r="G1110" s="1048"/>
      <c r="H1110" s="1100"/>
      <c r="I1110" s="717">
        <f t="shared" si="43"/>
        <v>12000</v>
      </c>
      <c r="J1110" s="717">
        <f t="shared" si="44"/>
        <v>8000</v>
      </c>
      <c r="K1110" s="717">
        <v>20000</v>
      </c>
    </row>
    <row r="1111" spans="1:11" s="510" customFormat="1" ht="75" hidden="1" customHeight="1">
      <c r="A1111" s="1020" t="s">
        <v>2114</v>
      </c>
      <c r="B1111" s="1022"/>
      <c r="C1111" s="714" t="s">
        <v>1906</v>
      </c>
      <c r="D1111" s="714">
        <v>15</v>
      </c>
      <c r="E1111" s="714" t="s">
        <v>2105</v>
      </c>
      <c r="F1111" s="1046"/>
      <c r="G1111" s="1048"/>
      <c r="H1111" s="1100"/>
      <c r="I1111" s="717">
        <f t="shared" si="43"/>
        <v>33000</v>
      </c>
      <c r="J1111" s="717">
        <f t="shared" si="44"/>
        <v>22000</v>
      </c>
      <c r="K1111" s="717">
        <v>55000</v>
      </c>
    </row>
    <row r="1112" spans="1:11" s="510" customFormat="1" ht="75" hidden="1" customHeight="1">
      <c r="A1112" s="1020" t="s">
        <v>1546</v>
      </c>
      <c r="B1112" s="1022"/>
      <c r="C1112" s="714" t="s">
        <v>1677</v>
      </c>
      <c r="D1112" s="714">
        <v>50</v>
      </c>
      <c r="E1112" s="714" t="s">
        <v>2102</v>
      </c>
      <c r="F1112" s="781" t="s">
        <v>2230</v>
      </c>
      <c r="G1112" s="1048"/>
      <c r="H1112" s="1100"/>
      <c r="I1112" s="717">
        <f t="shared" si="43"/>
        <v>51000</v>
      </c>
      <c r="J1112" s="717">
        <f t="shared" si="44"/>
        <v>34000</v>
      </c>
      <c r="K1112" s="717">
        <v>85000</v>
      </c>
    </row>
    <row r="1113" spans="1:11" s="510" customFormat="1" ht="75" hidden="1" customHeight="1">
      <c r="A1113" s="1020" t="s">
        <v>1840</v>
      </c>
      <c r="B1113" s="1022"/>
      <c r="C1113" s="714" t="s">
        <v>2106</v>
      </c>
      <c r="D1113" s="714">
        <v>5</v>
      </c>
      <c r="E1113" s="714" t="s">
        <v>2107</v>
      </c>
      <c r="F1113" s="1044" t="s">
        <v>2231</v>
      </c>
      <c r="G1113" s="1048"/>
      <c r="H1113" s="1100"/>
      <c r="I1113" s="717">
        <f t="shared" si="43"/>
        <v>9000</v>
      </c>
      <c r="J1113" s="717">
        <f t="shared" si="44"/>
        <v>6000</v>
      </c>
      <c r="K1113" s="717">
        <v>15000</v>
      </c>
    </row>
    <row r="1114" spans="1:11" s="510" customFormat="1" ht="75" hidden="1" customHeight="1">
      <c r="A1114" s="1020" t="s">
        <v>2011</v>
      </c>
      <c r="B1114" s="1022"/>
      <c r="C1114" s="714" t="s">
        <v>2108</v>
      </c>
      <c r="D1114" s="714">
        <v>45</v>
      </c>
      <c r="E1114" s="714" t="s">
        <v>1625</v>
      </c>
      <c r="F1114" s="1046"/>
      <c r="G1114" s="1049"/>
      <c r="H1114" s="1101"/>
      <c r="I1114" s="717">
        <f t="shared" si="43"/>
        <v>15001.8</v>
      </c>
      <c r="J1114" s="717">
        <f t="shared" si="44"/>
        <v>10001.200000000001</v>
      </c>
      <c r="K1114" s="717">
        <v>25003</v>
      </c>
    </row>
    <row r="1115" spans="1:11" ht="74.25" hidden="1" customHeight="1">
      <c r="A1115" s="1011" t="s">
        <v>278</v>
      </c>
      <c r="B1115" s="1013"/>
      <c r="C1115" s="504"/>
      <c r="D1115" s="709"/>
      <c r="E1115" s="709"/>
      <c r="F1115" s="708"/>
      <c r="G1115" s="709"/>
      <c r="H1115" s="710"/>
      <c r="I1115" s="545">
        <f>SUM(I1116)</f>
        <v>12000</v>
      </c>
      <c r="J1115" s="545">
        <f>SUM(J1116)</f>
        <v>8000</v>
      </c>
      <c r="K1115" s="545">
        <f>I1115+J1115</f>
        <v>20000</v>
      </c>
    </row>
    <row r="1116" spans="1:11" s="510" customFormat="1" ht="74.25" hidden="1" customHeight="1">
      <c r="A1116" s="1020" t="s">
        <v>2004</v>
      </c>
      <c r="B1116" s="1022"/>
      <c r="C1116" s="714" t="s">
        <v>1215</v>
      </c>
      <c r="D1116" s="714">
        <v>20</v>
      </c>
      <c r="E1116" s="725" t="s">
        <v>2109</v>
      </c>
      <c r="F1116" s="777" t="s">
        <v>2234</v>
      </c>
      <c r="G1116" s="711">
        <v>8100</v>
      </c>
      <c r="H1116" s="794" t="s">
        <v>2445</v>
      </c>
      <c r="I1116" s="717">
        <f>K1116/100*60</f>
        <v>12000</v>
      </c>
      <c r="J1116" s="717">
        <f>K1116/100*40</f>
        <v>8000</v>
      </c>
      <c r="K1116" s="717">
        <v>20000</v>
      </c>
    </row>
    <row r="1117" spans="1:11" ht="73.5" hidden="1" customHeight="1">
      <c r="A1117" s="1011" t="s">
        <v>312</v>
      </c>
      <c r="B1117" s="1013"/>
      <c r="C1117" s="709"/>
      <c r="D1117" s="709"/>
      <c r="E1117" s="709"/>
      <c r="F1117" s="708"/>
      <c r="G1117" s="709"/>
      <c r="H1117" s="710"/>
      <c r="I1117" s="545">
        <f>SUM(I1118:I1119)</f>
        <v>12000</v>
      </c>
      <c r="J1117" s="545">
        <f>SUM(J1118:J1119)</f>
        <v>8000</v>
      </c>
      <c r="K1117" s="545">
        <f>I1117+J1117</f>
        <v>20000</v>
      </c>
    </row>
    <row r="1118" spans="1:11" s="510" customFormat="1" ht="74.25" hidden="1" customHeight="1">
      <c r="A1118" s="1020" t="s">
        <v>2115</v>
      </c>
      <c r="B1118" s="1022"/>
      <c r="C1118" s="714" t="s">
        <v>2110</v>
      </c>
      <c r="D1118" s="714">
        <v>80</v>
      </c>
      <c r="E1118" s="714" t="s">
        <v>2111</v>
      </c>
      <c r="F1118" s="1044" t="s">
        <v>2224</v>
      </c>
      <c r="G1118" s="1047">
        <v>8100</v>
      </c>
      <c r="H1118" s="1099" t="s">
        <v>2273</v>
      </c>
      <c r="I1118" s="717">
        <f>K1118/100*60</f>
        <v>6000</v>
      </c>
      <c r="J1118" s="717">
        <f>K1118/100*40</f>
        <v>4000</v>
      </c>
      <c r="K1118" s="717">
        <v>10000</v>
      </c>
    </row>
    <row r="1119" spans="1:11" s="510" customFormat="1" ht="74.25" hidden="1" customHeight="1">
      <c r="A1119" s="1020" t="s">
        <v>1546</v>
      </c>
      <c r="B1119" s="1022"/>
      <c r="C1119" s="714" t="s">
        <v>1677</v>
      </c>
      <c r="D1119" s="714">
        <v>50</v>
      </c>
      <c r="E1119" s="714" t="s">
        <v>2102</v>
      </c>
      <c r="F1119" s="1046"/>
      <c r="G1119" s="1049"/>
      <c r="H1119" s="1101"/>
      <c r="I1119" s="717">
        <f>K1119/100*60</f>
        <v>6000</v>
      </c>
      <c r="J1119" s="717">
        <f>K1119/100*40</f>
        <v>4000</v>
      </c>
      <c r="K1119" s="717">
        <v>10000</v>
      </c>
    </row>
    <row r="1120" spans="1:11" ht="114" hidden="1" customHeight="1">
      <c r="A1120" s="1021"/>
      <c r="B1120" s="1021"/>
      <c r="C1120" s="1021"/>
      <c r="D1120" s="1021"/>
      <c r="E1120" s="1021"/>
      <c r="F1120" s="1021"/>
      <c r="G1120" s="1021"/>
      <c r="H1120" s="1021"/>
      <c r="I1120" s="1021"/>
      <c r="J1120" s="1021"/>
      <c r="K1120" s="1021"/>
    </row>
    <row r="1121" spans="1:11" s="743" customFormat="1" ht="36.75" hidden="1" customHeight="1">
      <c r="A1121" s="1135"/>
      <c r="B1121" s="1136"/>
      <c r="C1121" s="738"/>
      <c r="D1121" s="738"/>
      <c r="E1121" s="739"/>
      <c r="F1121" s="740"/>
      <c r="G1121" s="741"/>
      <c r="H1121" s="741"/>
      <c r="I1121" s="742"/>
      <c r="J1121" s="742"/>
      <c r="K1121" s="742"/>
    </row>
    <row r="1122" spans="1:11" ht="66" hidden="1" customHeight="1">
      <c r="A1122" s="1031" t="s">
        <v>37</v>
      </c>
      <c r="B1122" s="1033"/>
      <c r="C1122" s="1037" t="s">
        <v>178</v>
      </c>
      <c r="D1122" s="1037" t="s">
        <v>179</v>
      </c>
      <c r="E1122" s="1037" t="s">
        <v>1521</v>
      </c>
      <c r="F1122" s="1037" t="s">
        <v>14</v>
      </c>
      <c r="G1122" s="1037" t="s">
        <v>1515</v>
      </c>
      <c r="H1122" s="1037" t="s">
        <v>16</v>
      </c>
      <c r="I1122" s="1039" t="s">
        <v>1490</v>
      </c>
      <c r="J1122" s="1039" t="s">
        <v>2203</v>
      </c>
      <c r="K1122" s="1037" t="s">
        <v>200</v>
      </c>
    </row>
    <row r="1123" spans="1:11" s="500" customFormat="1" ht="30" hidden="1">
      <c r="A1123" s="1034"/>
      <c r="B1123" s="1036"/>
      <c r="C1123" s="1038"/>
      <c r="D1123" s="1038"/>
      <c r="E1123" s="1038"/>
      <c r="F1123" s="1038"/>
      <c r="G1123" s="1038"/>
      <c r="H1123" s="1038"/>
      <c r="I1123" s="1039"/>
      <c r="J1123" s="1039"/>
      <c r="K1123" s="1038"/>
    </row>
    <row r="1124" spans="1:11" s="500" customFormat="1" ht="74.25" hidden="1" customHeight="1">
      <c r="A1124" s="1102" t="s">
        <v>2073</v>
      </c>
      <c r="B1124" s="1103"/>
      <c r="C1124" s="729"/>
      <c r="D1124" s="729"/>
      <c r="E1124" s="726"/>
      <c r="F1124" s="727"/>
      <c r="G1124" s="728"/>
      <c r="H1124" s="728"/>
      <c r="I1124" s="642">
        <f>I1125+I1136+I1134</f>
        <v>139721.4</v>
      </c>
      <c r="J1124" s="642">
        <f>J1125+J1136+J1134</f>
        <v>93147.6</v>
      </c>
      <c r="K1124" s="642">
        <f>I1124+J1124</f>
        <v>232869</v>
      </c>
    </row>
    <row r="1125" spans="1:11" ht="75" hidden="1" customHeight="1">
      <c r="A1125" s="1011" t="s">
        <v>1541</v>
      </c>
      <c r="B1125" s="1013"/>
      <c r="C1125" s="709"/>
      <c r="D1125" s="709"/>
      <c r="E1125" s="709"/>
      <c r="F1125" s="708"/>
      <c r="G1125" s="709"/>
      <c r="H1125" s="710"/>
      <c r="I1125" s="545">
        <f>SUM(I1126:I1133)</f>
        <v>123715.20000000001</v>
      </c>
      <c r="J1125" s="545">
        <f>SUM(J1126:J1133)</f>
        <v>82476.800000000003</v>
      </c>
      <c r="K1125" s="545">
        <f>I1125+J1125</f>
        <v>206192</v>
      </c>
    </row>
    <row r="1126" spans="1:11" s="510" customFormat="1" ht="75" hidden="1" customHeight="1">
      <c r="A1126" s="1020" t="s">
        <v>2074</v>
      </c>
      <c r="B1126" s="1022"/>
      <c r="C1126" s="714" t="s">
        <v>1846</v>
      </c>
      <c r="D1126" s="744">
        <v>1621</v>
      </c>
      <c r="E1126" s="714" t="s">
        <v>2089</v>
      </c>
      <c r="F1126" s="1044" t="s">
        <v>2229</v>
      </c>
      <c r="G1126" s="1047">
        <v>8100</v>
      </c>
      <c r="H1126" s="1099" t="s">
        <v>2273</v>
      </c>
      <c r="I1126" s="717">
        <f t="shared" ref="I1126:I1133" si="45">K1126/100*60</f>
        <v>19251</v>
      </c>
      <c r="J1126" s="717">
        <f t="shared" ref="J1126:J1133" si="46">K1126/100*40</f>
        <v>12834</v>
      </c>
      <c r="K1126" s="717">
        <v>32085</v>
      </c>
    </row>
    <row r="1127" spans="1:11" s="510" customFormat="1" ht="75" hidden="1" customHeight="1">
      <c r="A1127" s="1020" t="s">
        <v>2075</v>
      </c>
      <c r="B1127" s="1022"/>
      <c r="C1127" s="714" t="s">
        <v>2083</v>
      </c>
      <c r="D1127" s="714">
        <v>20</v>
      </c>
      <c r="E1127" s="714" t="s">
        <v>2090</v>
      </c>
      <c r="F1127" s="1045"/>
      <c r="G1127" s="1048"/>
      <c r="H1127" s="1100"/>
      <c r="I1127" s="717">
        <f t="shared" si="45"/>
        <v>6000</v>
      </c>
      <c r="J1127" s="717">
        <f t="shared" si="46"/>
        <v>4000</v>
      </c>
      <c r="K1127" s="717">
        <v>10000</v>
      </c>
    </row>
    <row r="1128" spans="1:11" s="510" customFormat="1" ht="75" hidden="1" customHeight="1">
      <c r="A1128" s="1020" t="s">
        <v>2077</v>
      </c>
      <c r="B1128" s="1022"/>
      <c r="C1128" s="714" t="s">
        <v>2084</v>
      </c>
      <c r="D1128" s="714">
        <v>17</v>
      </c>
      <c r="E1128" s="714" t="s">
        <v>2089</v>
      </c>
      <c r="F1128" s="1046"/>
      <c r="G1128" s="1048"/>
      <c r="H1128" s="1100"/>
      <c r="I1128" s="717">
        <f t="shared" si="45"/>
        <v>18720</v>
      </c>
      <c r="J1128" s="717">
        <f t="shared" si="46"/>
        <v>12480</v>
      </c>
      <c r="K1128" s="717">
        <v>31200</v>
      </c>
    </row>
    <row r="1129" spans="1:11" s="510" customFormat="1" ht="75" hidden="1" customHeight="1">
      <c r="A1129" s="1020" t="s">
        <v>2076</v>
      </c>
      <c r="B1129" s="1022"/>
      <c r="C1129" s="714" t="s">
        <v>2084</v>
      </c>
      <c r="D1129" s="714">
        <v>17</v>
      </c>
      <c r="E1129" s="714" t="s">
        <v>2091</v>
      </c>
      <c r="F1129" s="1044" t="s">
        <v>2230</v>
      </c>
      <c r="G1129" s="1048"/>
      <c r="H1129" s="1100"/>
      <c r="I1129" s="717">
        <f t="shared" si="45"/>
        <v>27000</v>
      </c>
      <c r="J1129" s="717">
        <f t="shared" si="46"/>
        <v>18000</v>
      </c>
      <c r="K1129" s="717">
        <v>45000</v>
      </c>
    </row>
    <row r="1130" spans="1:11" s="510" customFormat="1" ht="74.25" hidden="1" customHeight="1">
      <c r="A1130" s="1020" t="s">
        <v>2078</v>
      </c>
      <c r="B1130" s="1022"/>
      <c r="C1130" s="714" t="s">
        <v>1846</v>
      </c>
      <c r="D1130" s="744">
        <v>1620</v>
      </c>
      <c r="E1130" s="714" t="s">
        <v>2092</v>
      </c>
      <c r="F1130" s="1046"/>
      <c r="G1130" s="1048"/>
      <c r="H1130" s="1100"/>
      <c r="I1130" s="717">
        <f t="shared" si="45"/>
        <v>6154.8</v>
      </c>
      <c r="J1130" s="717">
        <f t="shared" si="46"/>
        <v>4103.2</v>
      </c>
      <c r="K1130" s="717">
        <v>10258</v>
      </c>
    </row>
    <row r="1131" spans="1:11" s="510" customFormat="1" ht="75" hidden="1" customHeight="1">
      <c r="A1131" s="1020" t="s">
        <v>2079</v>
      </c>
      <c r="B1131" s="1022"/>
      <c r="C1131" s="714" t="s">
        <v>2085</v>
      </c>
      <c r="D1131" s="714">
        <v>4</v>
      </c>
      <c r="E1131" s="714" t="s">
        <v>2093</v>
      </c>
      <c r="F1131" s="1044" t="s">
        <v>2231</v>
      </c>
      <c r="G1131" s="1048"/>
      <c r="H1131" s="1100"/>
      <c r="I1131" s="717">
        <f t="shared" si="45"/>
        <v>16800</v>
      </c>
      <c r="J1131" s="717">
        <f t="shared" si="46"/>
        <v>11200</v>
      </c>
      <c r="K1131" s="717">
        <v>28000</v>
      </c>
    </row>
    <row r="1132" spans="1:11" s="510" customFormat="1" ht="75" hidden="1" customHeight="1">
      <c r="A1132" s="1020" t="s">
        <v>2080</v>
      </c>
      <c r="B1132" s="1022"/>
      <c r="C1132" s="714" t="s">
        <v>2086</v>
      </c>
      <c r="D1132" s="714">
        <v>121</v>
      </c>
      <c r="E1132" s="714" t="s">
        <v>2094</v>
      </c>
      <c r="F1132" s="1045"/>
      <c r="G1132" s="1048"/>
      <c r="H1132" s="1100"/>
      <c r="I1132" s="717">
        <f t="shared" si="45"/>
        <v>14400</v>
      </c>
      <c r="J1132" s="717">
        <f t="shared" si="46"/>
        <v>9600</v>
      </c>
      <c r="K1132" s="717">
        <v>24000</v>
      </c>
    </row>
    <row r="1133" spans="1:11" s="510" customFormat="1" ht="75" hidden="1" customHeight="1">
      <c r="A1133" s="1020" t="s">
        <v>1549</v>
      </c>
      <c r="B1133" s="1022"/>
      <c r="C1133" s="714" t="s">
        <v>2087</v>
      </c>
      <c r="D1133" s="716">
        <v>0.6</v>
      </c>
      <c r="E1133" s="714" t="s">
        <v>2095</v>
      </c>
      <c r="F1133" s="1046"/>
      <c r="G1133" s="1049"/>
      <c r="H1133" s="1101"/>
      <c r="I1133" s="717">
        <f t="shared" si="45"/>
        <v>15389.400000000001</v>
      </c>
      <c r="J1133" s="717">
        <f t="shared" si="46"/>
        <v>10259.6</v>
      </c>
      <c r="K1133" s="717">
        <v>25649</v>
      </c>
    </row>
    <row r="1134" spans="1:11" ht="74.25" hidden="1" customHeight="1">
      <c r="A1134" s="1011" t="s">
        <v>278</v>
      </c>
      <c r="B1134" s="1013"/>
      <c r="C1134" s="504"/>
      <c r="D1134" s="709"/>
      <c r="E1134" s="709"/>
      <c r="F1134" s="708"/>
      <c r="G1134" s="709"/>
      <c r="H1134" s="710"/>
      <c r="I1134" s="545">
        <f>SUM(I1135)</f>
        <v>6509.4</v>
      </c>
      <c r="J1134" s="545">
        <f>SUM(J1135)</f>
        <v>4339.5999999999995</v>
      </c>
      <c r="K1134" s="545">
        <f>I1134+J1134</f>
        <v>10849</v>
      </c>
    </row>
    <row r="1135" spans="1:11" s="510" customFormat="1" ht="74.25" hidden="1" customHeight="1">
      <c r="A1135" s="1020" t="s">
        <v>2004</v>
      </c>
      <c r="B1135" s="1022"/>
      <c r="C1135" s="714" t="s">
        <v>1215</v>
      </c>
      <c r="D1135" s="714">
        <v>30</v>
      </c>
      <c r="E1135" s="725" t="s">
        <v>2096</v>
      </c>
      <c r="F1135" s="777" t="s">
        <v>2234</v>
      </c>
      <c r="G1135" s="711">
        <v>8100</v>
      </c>
      <c r="H1135" s="794" t="s">
        <v>2445</v>
      </c>
      <c r="I1135" s="717">
        <f>K1135/100*60</f>
        <v>6509.4</v>
      </c>
      <c r="J1135" s="717">
        <f>K1135/100*40</f>
        <v>4339.5999999999995</v>
      </c>
      <c r="K1135" s="717">
        <v>10849</v>
      </c>
    </row>
    <row r="1136" spans="1:11" ht="73.5" hidden="1" customHeight="1">
      <c r="A1136" s="1011" t="s">
        <v>312</v>
      </c>
      <c r="B1136" s="1013"/>
      <c r="C1136" s="709"/>
      <c r="D1136" s="709"/>
      <c r="E1136" s="709"/>
      <c r="F1136" s="708"/>
      <c r="G1136" s="709"/>
      <c r="H1136" s="710"/>
      <c r="I1136" s="545">
        <f>SUM(I1137:I1138)</f>
        <v>9496.7999999999993</v>
      </c>
      <c r="J1136" s="545">
        <f>SUM(J1137:J1138)</f>
        <v>6331.2</v>
      </c>
      <c r="K1136" s="545">
        <f>I1136+J1136</f>
        <v>15828</v>
      </c>
    </row>
    <row r="1137" spans="1:11" s="510" customFormat="1" ht="74.25" hidden="1" customHeight="1">
      <c r="A1137" s="1020" t="s">
        <v>2081</v>
      </c>
      <c r="B1137" s="1022"/>
      <c r="C1137" s="714" t="s">
        <v>2084</v>
      </c>
      <c r="D1137" s="714">
        <v>17</v>
      </c>
      <c r="E1137" s="714" t="s">
        <v>2097</v>
      </c>
      <c r="F1137" s="1044" t="s">
        <v>2224</v>
      </c>
      <c r="G1137" s="1047">
        <v>8100</v>
      </c>
      <c r="H1137" s="1099" t="s">
        <v>2273</v>
      </c>
      <c r="I1137" s="717">
        <f>K1137/100*60</f>
        <v>6000</v>
      </c>
      <c r="J1137" s="717">
        <f>K1137/100*40</f>
        <v>4000</v>
      </c>
      <c r="K1137" s="717">
        <v>10000</v>
      </c>
    </row>
    <row r="1138" spans="1:11" s="510" customFormat="1" ht="74.25" hidden="1" customHeight="1">
      <c r="A1138" s="1020" t="s">
        <v>1556</v>
      </c>
      <c r="B1138" s="1022"/>
      <c r="C1138" s="714" t="s">
        <v>2088</v>
      </c>
      <c r="D1138" s="714">
        <v>10</v>
      </c>
      <c r="E1138" s="714" t="s">
        <v>2097</v>
      </c>
      <c r="F1138" s="1046"/>
      <c r="G1138" s="1049"/>
      <c r="H1138" s="1101"/>
      <c r="I1138" s="717">
        <f>K1138/100*60</f>
        <v>3496.8</v>
      </c>
      <c r="J1138" s="717">
        <f>K1138/100*40</f>
        <v>2331.1999999999998</v>
      </c>
      <c r="K1138" s="717">
        <v>5828</v>
      </c>
    </row>
    <row r="1139" spans="1:11" ht="54.75" hidden="1" customHeight="1">
      <c r="A1139" s="528"/>
      <c r="B1139" s="529"/>
      <c r="C1139" s="529"/>
      <c r="D1139" s="530"/>
      <c r="E1139" s="531"/>
      <c r="F1139" s="532"/>
      <c r="G1139" s="533"/>
      <c r="H1139" s="534"/>
      <c r="I1139" s="535"/>
      <c r="J1139" s="535"/>
      <c r="K1139" s="535"/>
    </row>
    <row r="1140" spans="1:11" s="472" customFormat="1" ht="60" customHeight="1">
      <c r="A1140" s="41"/>
      <c r="B1140" s="27"/>
      <c r="C1140" s="27"/>
      <c r="D1140" s="27"/>
      <c r="E1140" s="27"/>
      <c r="F1140" s="11"/>
      <c r="G1140" s="11"/>
      <c r="H1140" s="11"/>
      <c r="I1140" s="11"/>
      <c r="J1140" s="11"/>
      <c r="K1140" s="11"/>
    </row>
    <row r="1141" spans="1:11" ht="35.1" customHeight="1">
      <c r="I1141" s="429"/>
      <c r="J1141" s="429"/>
    </row>
    <row r="1142" spans="1:11" ht="35.1" customHeight="1">
      <c r="D1142" s="404"/>
      <c r="I1142" s="430"/>
      <c r="J1142" s="430"/>
    </row>
  </sheetData>
  <mergeCells count="1442">
    <mergeCell ref="A685:K685"/>
    <mergeCell ref="A644:K644"/>
    <mergeCell ref="A643:K643"/>
    <mergeCell ref="A640:K640"/>
    <mergeCell ref="A638:K638"/>
    <mergeCell ref="A637:K637"/>
    <mergeCell ref="A636:K636"/>
    <mergeCell ref="A622:K622"/>
    <mergeCell ref="A872:B872"/>
    <mergeCell ref="A873:B873"/>
    <mergeCell ref="A874:B874"/>
    <mergeCell ref="A902:B903"/>
    <mergeCell ref="A833:B833"/>
    <mergeCell ref="A834:B834"/>
    <mergeCell ref="A835:B835"/>
    <mergeCell ref="F835:F837"/>
    <mergeCell ref="G835:G837"/>
    <mergeCell ref="A827:B827"/>
    <mergeCell ref="A828:B828"/>
    <mergeCell ref="F828:F831"/>
    <mergeCell ref="A829:B829"/>
    <mergeCell ref="A795:B795"/>
    <mergeCell ref="G10:G11"/>
    <mergeCell ref="A896:B896"/>
    <mergeCell ref="A885:K885"/>
    <mergeCell ref="A754:B754"/>
    <mergeCell ref="A755:B755"/>
    <mergeCell ref="A756:B756"/>
    <mergeCell ref="A787:B788"/>
    <mergeCell ref="C787:C788"/>
    <mergeCell ref="D787:D788"/>
    <mergeCell ref="E787:E788"/>
    <mergeCell ref="F787:F788"/>
    <mergeCell ref="G787:G788"/>
    <mergeCell ref="H787:H788"/>
    <mergeCell ref="A758:B759"/>
    <mergeCell ref="C758:C759"/>
    <mergeCell ref="D758:D759"/>
    <mergeCell ref="H10:H11"/>
    <mergeCell ref="K10:K11"/>
    <mergeCell ref="A273:K273"/>
    <mergeCell ref="A272:K272"/>
    <mergeCell ref="A223:H223"/>
    <mergeCell ref="A222:H222"/>
    <mergeCell ref="A260:H260"/>
    <mergeCell ref="A261:H261"/>
    <mergeCell ref="A225:K225"/>
    <mergeCell ref="A226:K226"/>
    <mergeCell ref="A227:K227"/>
    <mergeCell ref="A229:K229"/>
    <mergeCell ref="A232:K232"/>
    <mergeCell ref="A233:K233"/>
    <mergeCell ref="F857:F858"/>
    <mergeCell ref="A832:B832"/>
    <mergeCell ref="A1:K1"/>
    <mergeCell ref="A2:K2"/>
    <mergeCell ref="A3:K3"/>
    <mergeCell ref="A5:K5"/>
    <mergeCell ref="A8:K8"/>
    <mergeCell ref="A9:K9"/>
    <mergeCell ref="A63:K63"/>
    <mergeCell ref="A64:K64"/>
    <mergeCell ref="A65:K65"/>
    <mergeCell ref="A67:K67"/>
    <mergeCell ref="A70:K70"/>
    <mergeCell ref="A10:A11"/>
    <mergeCell ref="B10:B11"/>
    <mergeCell ref="A753:B753"/>
    <mergeCell ref="A910:B910"/>
    <mergeCell ref="A911:B911"/>
    <mergeCell ref="A912:B912"/>
    <mergeCell ref="A871:B871"/>
    <mergeCell ref="G902:G903"/>
    <mergeCell ref="H902:H903"/>
    <mergeCell ref="G238:G250"/>
    <mergeCell ref="H238:H250"/>
    <mergeCell ref="A892:B892"/>
    <mergeCell ref="A387:K387"/>
    <mergeCell ref="A386:K386"/>
    <mergeCell ref="C902:C903"/>
    <mergeCell ref="D902:D903"/>
    <mergeCell ref="D886:D887"/>
    <mergeCell ref="E886:E887"/>
    <mergeCell ref="F886:F887"/>
    <mergeCell ref="G886:G887"/>
    <mergeCell ref="A901:B901"/>
    <mergeCell ref="H906:H909"/>
    <mergeCell ref="A907:B907"/>
    <mergeCell ref="A908:B908"/>
    <mergeCell ref="A134:K134"/>
    <mergeCell ref="A135:A136"/>
    <mergeCell ref="B135:B136"/>
    <mergeCell ref="G135:G136"/>
    <mergeCell ref="H135:H136"/>
    <mergeCell ref="K135:K136"/>
    <mergeCell ref="F908:F909"/>
    <mergeCell ref="A909:B909"/>
    <mergeCell ref="E902:E903"/>
    <mergeCell ref="A865:B865"/>
    <mergeCell ref="A766:K766"/>
    <mergeCell ref="A767:K767"/>
    <mergeCell ref="A768:K768"/>
    <mergeCell ref="A770:K770"/>
    <mergeCell ref="A773:K773"/>
    <mergeCell ref="A774:K774"/>
    <mergeCell ref="A810:K810"/>
    <mergeCell ref="A811:K811"/>
    <mergeCell ref="F902:F903"/>
    <mergeCell ref="A869:B869"/>
    <mergeCell ref="A870:B870"/>
    <mergeCell ref="G870:G872"/>
    <mergeCell ref="H870:H872"/>
    <mergeCell ref="A844:K844"/>
    <mergeCell ref="A729:K729"/>
    <mergeCell ref="A726:K726"/>
    <mergeCell ref="A724:K724"/>
    <mergeCell ref="A723:K723"/>
    <mergeCell ref="A688:K688"/>
    <mergeCell ref="F1039:F1041"/>
    <mergeCell ref="A957:B957"/>
    <mergeCell ref="A958:B958"/>
    <mergeCell ref="A1014:B1015"/>
    <mergeCell ref="C1014:C1015"/>
    <mergeCell ref="A979:B979"/>
    <mergeCell ref="G972:G973"/>
    <mergeCell ref="A1036:B1036"/>
    <mergeCell ref="A1037:B1037"/>
    <mergeCell ref="G1014:G1015"/>
    <mergeCell ref="A988:B988"/>
    <mergeCell ref="A989:B989"/>
    <mergeCell ref="A990:B990"/>
    <mergeCell ref="A991:B991"/>
    <mergeCell ref="F913:F914"/>
    <mergeCell ref="G913:G914"/>
    <mergeCell ref="A904:B904"/>
    <mergeCell ref="A905:B905"/>
    <mergeCell ref="A906:B906"/>
    <mergeCell ref="G906:G909"/>
    <mergeCell ref="A927:K927"/>
    <mergeCell ref="A926:K926"/>
    <mergeCell ref="A923:K923"/>
    <mergeCell ref="A913:B913"/>
    <mergeCell ref="G1057:G1058"/>
    <mergeCell ref="A940:B940"/>
    <mergeCell ref="A941:B941"/>
    <mergeCell ref="F941:F942"/>
    <mergeCell ref="A932:B932"/>
    <mergeCell ref="F932:F933"/>
    <mergeCell ref="G932:G937"/>
    <mergeCell ref="H932:H937"/>
    <mergeCell ref="A933:B933"/>
    <mergeCell ref="A934:B934"/>
    <mergeCell ref="F934:F935"/>
    <mergeCell ref="A980:B980"/>
    <mergeCell ref="A981:B981"/>
    <mergeCell ref="A982:B982"/>
    <mergeCell ref="A976:B976"/>
    <mergeCell ref="A977:B977"/>
    <mergeCell ref="A954:B954"/>
    <mergeCell ref="A937:B937"/>
    <mergeCell ref="A938:B938"/>
    <mergeCell ref="A939:B939"/>
    <mergeCell ref="A950:B950"/>
    <mergeCell ref="G950:G954"/>
    <mergeCell ref="A953:B953"/>
    <mergeCell ref="A1040:B1040"/>
    <mergeCell ref="A1041:B1041"/>
    <mergeCell ref="A949:B949"/>
    <mergeCell ref="A936:B936"/>
    <mergeCell ref="F936:F937"/>
    <mergeCell ref="A967:K967"/>
    <mergeCell ref="A970:K970"/>
    <mergeCell ref="A971:K971"/>
    <mergeCell ref="A1005:K1005"/>
    <mergeCell ref="C928:C929"/>
    <mergeCell ref="D1014:D1015"/>
    <mergeCell ref="E1014:E1015"/>
    <mergeCell ref="F1014:F1015"/>
    <mergeCell ref="A963:K963"/>
    <mergeCell ref="A964:K964"/>
    <mergeCell ref="A965:K965"/>
    <mergeCell ref="G941:G942"/>
    <mergeCell ref="H941:H942"/>
    <mergeCell ref="A942:B942"/>
    <mergeCell ref="A943:B943"/>
    <mergeCell ref="A919:K919"/>
    <mergeCell ref="A920:K920"/>
    <mergeCell ref="A921:K921"/>
    <mergeCell ref="H913:H914"/>
    <mergeCell ref="A914:B914"/>
    <mergeCell ref="A915:K915"/>
    <mergeCell ref="D928:D929"/>
    <mergeCell ref="E928:E929"/>
    <mergeCell ref="F928:F929"/>
    <mergeCell ref="A1006:K1006"/>
    <mergeCell ref="A1007:K1007"/>
    <mergeCell ref="J1057:J1058"/>
    <mergeCell ref="I1071:I1072"/>
    <mergeCell ref="A978:B978"/>
    <mergeCell ref="F985:F986"/>
    <mergeCell ref="A1069:B1069"/>
    <mergeCell ref="A1070:B1070"/>
    <mergeCell ref="A1045:B1045"/>
    <mergeCell ref="A1042:B1042"/>
    <mergeCell ref="F991:F993"/>
    <mergeCell ref="A987:B987"/>
    <mergeCell ref="A1009:K1009"/>
    <mergeCell ref="A1012:K1012"/>
    <mergeCell ref="A1013:K1013"/>
    <mergeCell ref="A1017:F1017"/>
    <mergeCell ref="A1018:B1018"/>
    <mergeCell ref="A1034:B1034"/>
    <mergeCell ref="A1035:B1035"/>
    <mergeCell ref="K1027:K1028"/>
    <mergeCell ref="A1026:B1026"/>
    <mergeCell ref="A1023:B1023"/>
    <mergeCell ref="G991:G993"/>
    <mergeCell ref="A983:B983"/>
    <mergeCell ref="F983:F984"/>
    <mergeCell ref="G983:G987"/>
    <mergeCell ref="A986:B986"/>
    <mergeCell ref="A1057:B1058"/>
    <mergeCell ref="C1057:C1058"/>
    <mergeCell ref="D1057:D1058"/>
    <mergeCell ref="E1057:E1058"/>
    <mergeCell ref="A1043:B1043"/>
    <mergeCell ref="A1044:B1044"/>
    <mergeCell ref="F1057:F1058"/>
    <mergeCell ref="F1082:F1083"/>
    <mergeCell ref="A1074:F1074"/>
    <mergeCell ref="A1075:B1075"/>
    <mergeCell ref="G1075:G1076"/>
    <mergeCell ref="H1075:H1076"/>
    <mergeCell ref="A1076:B1076"/>
    <mergeCell ref="A1071:B1072"/>
    <mergeCell ref="C1071:C1072"/>
    <mergeCell ref="D1071:D1072"/>
    <mergeCell ref="E1071:E1072"/>
    <mergeCell ref="F1071:F1072"/>
    <mergeCell ref="G1071:G1072"/>
    <mergeCell ref="H1071:H1072"/>
    <mergeCell ref="K1071:K1072"/>
    <mergeCell ref="A930:B930"/>
    <mergeCell ref="A931:B931"/>
    <mergeCell ref="A928:B929"/>
    <mergeCell ref="A935:B935"/>
    <mergeCell ref="A984:B984"/>
    <mergeCell ref="A985:B985"/>
    <mergeCell ref="D972:D973"/>
    <mergeCell ref="E972:E973"/>
    <mergeCell ref="F972:F973"/>
    <mergeCell ref="H983:H987"/>
    <mergeCell ref="A955:B955"/>
    <mergeCell ref="A956:B956"/>
    <mergeCell ref="H991:H993"/>
    <mergeCell ref="A992:B992"/>
    <mergeCell ref="A993:B993"/>
    <mergeCell ref="J1071:J1072"/>
    <mergeCell ref="A1068:B1068"/>
    <mergeCell ref="A1049:K1049"/>
    <mergeCell ref="A1089:K1089"/>
    <mergeCell ref="A1027:B1028"/>
    <mergeCell ref="C1027:C1028"/>
    <mergeCell ref="D1027:D1028"/>
    <mergeCell ref="E1027:E1028"/>
    <mergeCell ref="F1027:F1028"/>
    <mergeCell ref="A1048:K1048"/>
    <mergeCell ref="A1031:B1031"/>
    <mergeCell ref="A1032:B1032"/>
    <mergeCell ref="A1033:B1033"/>
    <mergeCell ref="F1033:F1036"/>
    <mergeCell ref="G1033:G1041"/>
    <mergeCell ref="H1033:H1041"/>
    <mergeCell ref="A1077:B1077"/>
    <mergeCell ref="A1078:B1078"/>
    <mergeCell ref="F1078:F1080"/>
    <mergeCell ref="G1078:G1083"/>
    <mergeCell ref="H1078:H1083"/>
    <mergeCell ref="A1079:B1079"/>
    <mergeCell ref="A1080:B1080"/>
    <mergeCell ref="A1081:B1081"/>
    <mergeCell ref="A1082:B1082"/>
    <mergeCell ref="G1087:G1088"/>
    <mergeCell ref="H1087:H1088"/>
    <mergeCell ref="A1088:B1088"/>
    <mergeCell ref="A1084:B1084"/>
    <mergeCell ref="A1085:B1085"/>
    <mergeCell ref="A1065:B1065"/>
    <mergeCell ref="A1066:B1066"/>
    <mergeCell ref="A1067:B1067"/>
    <mergeCell ref="H1057:H1058"/>
    <mergeCell ref="K1057:K1058"/>
    <mergeCell ref="A900:B900"/>
    <mergeCell ref="K1122:K1123"/>
    <mergeCell ref="K944:K945"/>
    <mergeCell ref="A946:B946"/>
    <mergeCell ref="A947:F947"/>
    <mergeCell ref="A948:B948"/>
    <mergeCell ref="F899:F900"/>
    <mergeCell ref="G899:G900"/>
    <mergeCell ref="H899:H900"/>
    <mergeCell ref="A944:B945"/>
    <mergeCell ref="C944:C945"/>
    <mergeCell ref="D944:D945"/>
    <mergeCell ref="E944:E945"/>
    <mergeCell ref="F944:F945"/>
    <mergeCell ref="G944:G945"/>
    <mergeCell ref="A1083:B1083"/>
    <mergeCell ref="A1029:B1029"/>
    <mergeCell ref="A1121:B1121"/>
    <mergeCell ref="G1118:G1119"/>
    <mergeCell ref="H1118:H1119"/>
    <mergeCell ref="A1119:B1119"/>
    <mergeCell ref="A1120:K1120"/>
    <mergeCell ref="A1114:B1114"/>
    <mergeCell ref="A1115:B1115"/>
    <mergeCell ref="A1116:B1116"/>
    <mergeCell ref="A1117:B1117"/>
    <mergeCell ref="A1118:B1118"/>
    <mergeCell ref="K1101:K1102"/>
    <mergeCell ref="A1103:B1103"/>
    <mergeCell ref="A1104:F1104"/>
    <mergeCell ref="A1105:B1105"/>
    <mergeCell ref="H1105:H1107"/>
    <mergeCell ref="H1137:H1138"/>
    <mergeCell ref="A1138:B1138"/>
    <mergeCell ref="A1134:B1134"/>
    <mergeCell ref="A1135:B1135"/>
    <mergeCell ref="A1136:B1136"/>
    <mergeCell ref="A1137:B1137"/>
    <mergeCell ref="F1137:F1138"/>
    <mergeCell ref="G1137:G1138"/>
    <mergeCell ref="A1129:B1129"/>
    <mergeCell ref="F1129:F1130"/>
    <mergeCell ref="A1130:B1130"/>
    <mergeCell ref="A1131:B1131"/>
    <mergeCell ref="F1131:F1133"/>
    <mergeCell ref="A1132:B1132"/>
    <mergeCell ref="A1133:B1133"/>
    <mergeCell ref="A1093:K1093"/>
    <mergeCell ref="A1094:K1094"/>
    <mergeCell ref="H1109:H1114"/>
    <mergeCell ref="A1110:B1110"/>
    <mergeCell ref="A1111:B1111"/>
    <mergeCell ref="A1112:B1112"/>
    <mergeCell ref="A1113:B1113"/>
    <mergeCell ref="F1113:F1114"/>
    <mergeCell ref="I1122:I1123"/>
    <mergeCell ref="A1126:B1126"/>
    <mergeCell ref="F1126:F1128"/>
    <mergeCell ref="G1126:G1133"/>
    <mergeCell ref="H1126:H1133"/>
    <mergeCell ref="A1127:B1127"/>
    <mergeCell ref="A1128:B1128"/>
    <mergeCell ref="A1122:B1123"/>
    <mergeCell ref="C1122:C1123"/>
    <mergeCell ref="D1122:D1123"/>
    <mergeCell ref="E1122:E1123"/>
    <mergeCell ref="F1122:F1123"/>
    <mergeCell ref="G1122:G1123"/>
    <mergeCell ref="H1122:H1123"/>
    <mergeCell ref="A1124:B1124"/>
    <mergeCell ref="A1125:B1125"/>
    <mergeCell ref="A1099:K1099"/>
    <mergeCell ref="A1100:K1100"/>
    <mergeCell ref="A1092:K1092"/>
    <mergeCell ref="J1122:J1123"/>
    <mergeCell ref="A1086:B1086"/>
    <mergeCell ref="A1087:B1087"/>
    <mergeCell ref="F1087:F1088"/>
    <mergeCell ref="A1096:K1096"/>
    <mergeCell ref="A1106:B1106"/>
    <mergeCell ref="A1107:B1107"/>
    <mergeCell ref="I1101:I1102"/>
    <mergeCell ref="J1101:J1102"/>
    <mergeCell ref="A1109:B1109"/>
    <mergeCell ref="F1109:F1111"/>
    <mergeCell ref="G1109:G1114"/>
    <mergeCell ref="G1101:G1102"/>
    <mergeCell ref="H1101:H1102"/>
    <mergeCell ref="G1105:G1107"/>
    <mergeCell ref="F1118:F1119"/>
    <mergeCell ref="A1108:B1108"/>
    <mergeCell ref="A1101:B1102"/>
    <mergeCell ref="C1101:C1102"/>
    <mergeCell ref="D1101:D1102"/>
    <mergeCell ref="E1101:E1102"/>
    <mergeCell ref="F1101:F1102"/>
    <mergeCell ref="A1030:F1030"/>
    <mergeCell ref="A1024:B1024"/>
    <mergeCell ref="A1025:K1025"/>
    <mergeCell ref="A1019:B1019"/>
    <mergeCell ref="A1020:B1020"/>
    <mergeCell ref="G1020:G1022"/>
    <mergeCell ref="H1020:H1022"/>
    <mergeCell ref="A1021:B1021"/>
    <mergeCell ref="A1022:B1022"/>
    <mergeCell ref="H1014:H1015"/>
    <mergeCell ref="A1073:B1073"/>
    <mergeCell ref="G1027:G1028"/>
    <mergeCell ref="H1027:H1028"/>
    <mergeCell ref="A1056:K1056"/>
    <mergeCell ref="F1037:F1038"/>
    <mergeCell ref="A1038:B1038"/>
    <mergeCell ref="A1039:B1039"/>
    <mergeCell ref="F1064:F1065"/>
    <mergeCell ref="A1059:B1059"/>
    <mergeCell ref="A1060:B1060"/>
    <mergeCell ref="A1061:B1061"/>
    <mergeCell ref="G1061:G1065"/>
    <mergeCell ref="H1061:H1065"/>
    <mergeCell ref="A1062:B1062"/>
    <mergeCell ref="A1063:B1063"/>
    <mergeCell ref="A1064:B1064"/>
    <mergeCell ref="A1050:K1050"/>
    <mergeCell ref="A1052:K1052"/>
    <mergeCell ref="K1014:K1015"/>
    <mergeCell ref="A1016:B1016"/>
    <mergeCell ref="A1055:K1055"/>
    <mergeCell ref="I1057:I1058"/>
    <mergeCell ref="H972:H973"/>
    <mergeCell ref="K972:K973"/>
    <mergeCell ref="A974:B974"/>
    <mergeCell ref="A975:F975"/>
    <mergeCell ref="A972:B973"/>
    <mergeCell ref="C972:C973"/>
    <mergeCell ref="D849:D850"/>
    <mergeCell ref="E849:E850"/>
    <mergeCell ref="F849:F850"/>
    <mergeCell ref="G849:G850"/>
    <mergeCell ref="H849:H850"/>
    <mergeCell ref="A849:B850"/>
    <mergeCell ref="C849:C850"/>
    <mergeCell ref="H944:H945"/>
    <mergeCell ref="K902:K903"/>
    <mergeCell ref="A897:B897"/>
    <mergeCell ref="A898:B898"/>
    <mergeCell ref="G928:G929"/>
    <mergeCell ref="H928:H929"/>
    <mergeCell ref="K928:K929"/>
    <mergeCell ref="H950:H954"/>
    <mergeCell ref="A951:B951"/>
    <mergeCell ref="A952:B952"/>
    <mergeCell ref="F952:F954"/>
    <mergeCell ref="H866:H867"/>
    <mergeCell ref="A868:B868"/>
    <mergeCell ref="A899:B899"/>
    <mergeCell ref="H886:H887"/>
    <mergeCell ref="K886:K887"/>
    <mergeCell ref="A888:B888"/>
    <mergeCell ref="A889:B889"/>
    <mergeCell ref="A890:B890"/>
    <mergeCell ref="F890:F891"/>
    <mergeCell ref="G890:G895"/>
    <mergeCell ref="H890:H895"/>
    <mergeCell ref="A891:B891"/>
    <mergeCell ref="A886:B887"/>
    <mergeCell ref="C886:C887"/>
    <mergeCell ref="A847:K847"/>
    <mergeCell ref="A848:K848"/>
    <mergeCell ref="A838:K838"/>
    <mergeCell ref="A866:B867"/>
    <mergeCell ref="C866:C867"/>
    <mergeCell ref="D866:D867"/>
    <mergeCell ref="E866:E867"/>
    <mergeCell ref="F866:F867"/>
    <mergeCell ref="G866:G867"/>
    <mergeCell ref="A864:K864"/>
    <mergeCell ref="K866:K867"/>
    <mergeCell ref="A860:B860"/>
    <mergeCell ref="A861:B861"/>
    <mergeCell ref="F862:F863"/>
    <mergeCell ref="G862:G863"/>
    <mergeCell ref="H862:H863"/>
    <mergeCell ref="G853:G858"/>
    <mergeCell ref="H853:H858"/>
    <mergeCell ref="A840:K840"/>
    <mergeCell ref="A841:K841"/>
    <mergeCell ref="A842:K842"/>
    <mergeCell ref="I849:I850"/>
    <mergeCell ref="A893:B893"/>
    <mergeCell ref="F893:F895"/>
    <mergeCell ref="A894:B894"/>
    <mergeCell ref="A895:B895"/>
    <mergeCell ref="H835:H837"/>
    <mergeCell ref="A836:B836"/>
    <mergeCell ref="A837:B837"/>
    <mergeCell ref="A826:B826"/>
    <mergeCell ref="E819:E820"/>
    <mergeCell ref="F819:F820"/>
    <mergeCell ref="G819:G820"/>
    <mergeCell ref="H819:H820"/>
    <mergeCell ref="I819:I820"/>
    <mergeCell ref="J819:J820"/>
    <mergeCell ref="A812:K812"/>
    <mergeCell ref="A814:K814"/>
    <mergeCell ref="A817:K817"/>
    <mergeCell ref="A818:K818"/>
    <mergeCell ref="A830:B830"/>
    <mergeCell ref="A831:B831"/>
    <mergeCell ref="A821:B821"/>
    <mergeCell ref="A822:B822"/>
    <mergeCell ref="A790:B790"/>
    <mergeCell ref="A791:B791"/>
    <mergeCell ref="H784:H785"/>
    <mergeCell ref="A785:B785"/>
    <mergeCell ref="A786:B786"/>
    <mergeCell ref="A760:B760"/>
    <mergeCell ref="A761:B761"/>
    <mergeCell ref="A823:B823"/>
    <mergeCell ref="F823:F824"/>
    <mergeCell ref="G823:G831"/>
    <mergeCell ref="H823:H831"/>
    <mergeCell ref="A824:B824"/>
    <mergeCell ref="A825:B825"/>
    <mergeCell ref="F825:F827"/>
    <mergeCell ref="A797:B798"/>
    <mergeCell ref="K744:K745"/>
    <mergeCell ref="A746:B746"/>
    <mergeCell ref="A747:B747"/>
    <mergeCell ref="J797:J798"/>
    <mergeCell ref="A794:B794"/>
    <mergeCell ref="A796:B796"/>
    <mergeCell ref="A806:B806"/>
    <mergeCell ref="A799:B799"/>
    <mergeCell ref="A800:B800"/>
    <mergeCell ref="C797:C798"/>
    <mergeCell ref="D797:D798"/>
    <mergeCell ref="K819:K820"/>
    <mergeCell ref="A807:B807"/>
    <mergeCell ref="A808:B808"/>
    <mergeCell ref="A819:B820"/>
    <mergeCell ref="C819:C820"/>
    <mergeCell ref="D819:D820"/>
    <mergeCell ref="A743:B743"/>
    <mergeCell ref="A744:B745"/>
    <mergeCell ref="C744:C745"/>
    <mergeCell ref="A801:B801"/>
    <mergeCell ref="G801:G806"/>
    <mergeCell ref="H801:H806"/>
    <mergeCell ref="A802:B802"/>
    <mergeCell ref="A803:B803"/>
    <mergeCell ref="A804:B804"/>
    <mergeCell ref="F804:F806"/>
    <mergeCell ref="A805:B805"/>
    <mergeCell ref="A783:B783"/>
    <mergeCell ref="A784:B784"/>
    <mergeCell ref="F784:F785"/>
    <mergeCell ref="G784:G785"/>
    <mergeCell ref="H775:H776"/>
    <mergeCell ref="K775:K776"/>
    <mergeCell ref="A777:B777"/>
    <mergeCell ref="A778:B778"/>
    <mergeCell ref="A750:B750"/>
    <mergeCell ref="F750:F752"/>
    <mergeCell ref="A751:B751"/>
    <mergeCell ref="A752:B752"/>
    <mergeCell ref="A762:B762"/>
    <mergeCell ref="H762:H763"/>
    <mergeCell ref="A763:B763"/>
    <mergeCell ref="K758:K759"/>
    <mergeCell ref="E758:E759"/>
    <mergeCell ref="I797:I798"/>
    <mergeCell ref="E797:E798"/>
    <mergeCell ref="F797:F798"/>
    <mergeCell ref="A789:B789"/>
    <mergeCell ref="A731:B732"/>
    <mergeCell ref="C731:C732"/>
    <mergeCell ref="D731:D732"/>
    <mergeCell ref="E731:E732"/>
    <mergeCell ref="F731:F732"/>
    <mergeCell ref="G731:G732"/>
    <mergeCell ref="F758:F759"/>
    <mergeCell ref="G758:G759"/>
    <mergeCell ref="H758:H759"/>
    <mergeCell ref="A757:B757"/>
    <mergeCell ref="G791:G793"/>
    <mergeCell ref="H791:H793"/>
    <mergeCell ref="A792:B792"/>
    <mergeCell ref="A793:B793"/>
    <mergeCell ref="A739:B739"/>
    <mergeCell ref="A740:B740"/>
    <mergeCell ref="A741:B741"/>
    <mergeCell ref="A742:B742"/>
    <mergeCell ref="A748:B748"/>
    <mergeCell ref="G748:G752"/>
    <mergeCell ref="H748:H752"/>
    <mergeCell ref="A749:B749"/>
    <mergeCell ref="A733:B733"/>
    <mergeCell ref="A734:B734"/>
    <mergeCell ref="A735:B735"/>
    <mergeCell ref="A736:B736"/>
    <mergeCell ref="A737:B737"/>
    <mergeCell ref="G744:G745"/>
    <mergeCell ref="H744:H745"/>
    <mergeCell ref="F775:F776"/>
    <mergeCell ref="G775:G776"/>
    <mergeCell ref="F737:F738"/>
    <mergeCell ref="K645:K646"/>
    <mergeCell ref="A708:K708"/>
    <mergeCell ref="A705:B705"/>
    <mergeCell ref="A706:B706"/>
    <mergeCell ref="F706:F707"/>
    <mergeCell ref="A779:B779"/>
    <mergeCell ref="G779:G782"/>
    <mergeCell ref="H779:H782"/>
    <mergeCell ref="A780:B780"/>
    <mergeCell ref="A684:K684"/>
    <mergeCell ref="A647:B647"/>
    <mergeCell ref="A648:B648"/>
    <mergeCell ref="A649:B649"/>
    <mergeCell ref="G649:G653"/>
    <mergeCell ref="H649:H653"/>
    <mergeCell ref="A650:B650"/>
    <mergeCell ref="A651:B651"/>
    <mergeCell ref="A652:B652"/>
    <mergeCell ref="F652:F653"/>
    <mergeCell ref="A657:B657"/>
    <mergeCell ref="F657:F658"/>
    <mergeCell ref="A661:B661"/>
    <mergeCell ref="E693:E694"/>
    <mergeCell ref="G706:G707"/>
    <mergeCell ref="H706:H707"/>
    <mergeCell ref="A722:K722"/>
    <mergeCell ref="J744:J745"/>
    <mergeCell ref="I758:I759"/>
    <mergeCell ref="J758:J759"/>
    <mergeCell ref="K731:K732"/>
    <mergeCell ref="G735:G738"/>
    <mergeCell ref="H735:H738"/>
    <mergeCell ref="A686:K686"/>
    <mergeCell ref="A691:K691"/>
    <mergeCell ref="A692:K692"/>
    <mergeCell ref="J693:J694"/>
    <mergeCell ref="A675:I675"/>
    <mergeCell ref="A676:I676"/>
    <mergeCell ref="A674:B674"/>
    <mergeCell ref="A667:B667"/>
    <mergeCell ref="G667:G671"/>
    <mergeCell ref="I775:I776"/>
    <mergeCell ref="J775:J776"/>
    <mergeCell ref="I787:I788"/>
    <mergeCell ref="J787:J788"/>
    <mergeCell ref="A730:K730"/>
    <mergeCell ref="A782:B782"/>
    <mergeCell ref="H667:H671"/>
    <mergeCell ref="A668:B668"/>
    <mergeCell ref="A669:B669"/>
    <mergeCell ref="A781:B781"/>
    <mergeCell ref="A775:B776"/>
    <mergeCell ref="C775:C776"/>
    <mergeCell ref="D775:D776"/>
    <mergeCell ref="F667:F670"/>
    <mergeCell ref="A673:B673"/>
    <mergeCell ref="H731:H732"/>
    <mergeCell ref="I731:I732"/>
    <mergeCell ref="J731:J732"/>
    <mergeCell ref="I744:I745"/>
    <mergeCell ref="A707:B707"/>
    <mergeCell ref="F699:F702"/>
    <mergeCell ref="A700:B700"/>
    <mergeCell ref="A701:B701"/>
    <mergeCell ref="A621:B621"/>
    <mergeCell ref="G645:G646"/>
    <mergeCell ref="H645:H646"/>
    <mergeCell ref="A610:B610"/>
    <mergeCell ref="A653:B653"/>
    <mergeCell ref="A654:B654"/>
    <mergeCell ref="A655:B655"/>
    <mergeCell ref="A656:B656"/>
    <mergeCell ref="A645:B646"/>
    <mergeCell ref="C645:C646"/>
    <mergeCell ref="A611:B611"/>
    <mergeCell ref="F611:F616"/>
    <mergeCell ref="A612:B612"/>
    <mergeCell ref="A613:B613"/>
    <mergeCell ref="A614:B614"/>
    <mergeCell ref="A616:B616"/>
    <mergeCell ref="A617:B617"/>
    <mergeCell ref="A618:B618"/>
    <mergeCell ref="A619:B619"/>
    <mergeCell ref="A620:B620"/>
    <mergeCell ref="F649:F651"/>
    <mergeCell ref="A306:B306"/>
    <mergeCell ref="A307:B307"/>
    <mergeCell ref="A309:B309"/>
    <mergeCell ref="A670:B670"/>
    <mergeCell ref="A671:B671"/>
    <mergeCell ref="A662:B662"/>
    <mergeCell ref="F662:F666"/>
    <mergeCell ref="G662:G666"/>
    <mergeCell ref="H662:H666"/>
    <mergeCell ref="A663:B663"/>
    <mergeCell ref="A664:B664"/>
    <mergeCell ref="A665:B665"/>
    <mergeCell ref="A666:B666"/>
    <mergeCell ref="G657:G658"/>
    <mergeCell ref="H657:H658"/>
    <mergeCell ref="A658:B658"/>
    <mergeCell ref="A659:B659"/>
    <mergeCell ref="A660:B660"/>
    <mergeCell ref="F660:F661"/>
    <mergeCell ref="G660:G661"/>
    <mergeCell ref="H660:H661"/>
    <mergeCell ref="F604:F607"/>
    <mergeCell ref="G604:G607"/>
    <mergeCell ref="H604:H607"/>
    <mergeCell ref="A605:B605"/>
    <mergeCell ref="A606:B606"/>
    <mergeCell ref="D645:D646"/>
    <mergeCell ref="E645:E646"/>
    <mergeCell ref="F645:F646"/>
    <mergeCell ref="F620:F621"/>
    <mergeCell ref="G620:G621"/>
    <mergeCell ref="H620:H621"/>
    <mergeCell ref="A609:B609"/>
    <mergeCell ref="G609:G616"/>
    <mergeCell ref="H609:H616"/>
    <mergeCell ref="A602:B602"/>
    <mergeCell ref="A603:F603"/>
    <mergeCell ref="A604:B604"/>
    <mergeCell ref="A280:B280"/>
    <mergeCell ref="G280:G287"/>
    <mergeCell ref="H280:H287"/>
    <mergeCell ref="A281:B281"/>
    <mergeCell ref="A282:B282"/>
    <mergeCell ref="A283:B283"/>
    <mergeCell ref="F283:F287"/>
    <mergeCell ref="A308:B308"/>
    <mergeCell ref="A313:B313"/>
    <mergeCell ref="A314:B314"/>
    <mergeCell ref="F314:F315"/>
    <mergeCell ref="A607:B607"/>
    <mergeCell ref="A600:B601"/>
    <mergeCell ref="C600:C601"/>
    <mergeCell ref="D600:D601"/>
    <mergeCell ref="E600:E601"/>
    <mergeCell ref="F600:F601"/>
    <mergeCell ref="G600:G601"/>
    <mergeCell ref="H600:H601"/>
    <mergeCell ref="A615:B615"/>
    <mergeCell ref="A492:B492"/>
    <mergeCell ref="A427:K427"/>
    <mergeCell ref="A428:K428"/>
    <mergeCell ref="A429:K429"/>
    <mergeCell ref="A431:K431"/>
    <mergeCell ref="K600:K601"/>
    <mergeCell ref="A320:B320"/>
    <mergeCell ref="A322:B322"/>
    <mergeCell ref="A323:B323"/>
    <mergeCell ref="A310:B310"/>
    <mergeCell ref="A311:B311"/>
    <mergeCell ref="A312:B312"/>
    <mergeCell ref="A389:K389"/>
    <mergeCell ref="A392:K392"/>
    <mergeCell ref="A393:K393"/>
    <mergeCell ref="A549:K549"/>
    <mergeCell ref="A572:B572"/>
    <mergeCell ref="A573:B573"/>
    <mergeCell ref="A574:B574"/>
    <mergeCell ref="A567:B568"/>
    <mergeCell ref="A385:K385"/>
    <mergeCell ref="A343:K343"/>
    <mergeCell ref="A342:K342"/>
    <mergeCell ref="A332:B332"/>
    <mergeCell ref="A333:B333"/>
    <mergeCell ref="F333:F334"/>
    <mergeCell ref="G333:G337"/>
    <mergeCell ref="H333:H337"/>
    <mergeCell ref="A334:B334"/>
    <mergeCell ref="A335:B335"/>
    <mergeCell ref="A346:K346"/>
    <mergeCell ref="A349:K349"/>
    <mergeCell ref="A350:K350"/>
    <mergeCell ref="H455:H458"/>
    <mergeCell ref="A456:B456"/>
    <mergeCell ref="A457:B457"/>
    <mergeCell ref="A470:K470"/>
    <mergeCell ref="A471:K471"/>
    <mergeCell ref="G274:G275"/>
    <mergeCell ref="H274:H275"/>
    <mergeCell ref="K274:K275"/>
    <mergeCell ref="A276:B276"/>
    <mergeCell ref="A277:F277"/>
    <mergeCell ref="A274:B275"/>
    <mergeCell ref="C274:C275"/>
    <mergeCell ref="D274:D275"/>
    <mergeCell ref="E274:E275"/>
    <mergeCell ref="F274:F275"/>
    <mergeCell ref="F306:F308"/>
    <mergeCell ref="F310:F313"/>
    <mergeCell ref="A285:B285"/>
    <mergeCell ref="A286:B286"/>
    <mergeCell ref="A287:B287"/>
    <mergeCell ref="A288:B288"/>
    <mergeCell ref="A289:B289"/>
    <mergeCell ref="A292:K292"/>
    <mergeCell ref="A293:K293"/>
    <mergeCell ref="A294:K294"/>
    <mergeCell ref="A296:K296"/>
    <mergeCell ref="A299:K299"/>
    <mergeCell ref="A300:K300"/>
    <mergeCell ref="G305:G315"/>
    <mergeCell ref="H305:H315"/>
    <mergeCell ref="G301:G302"/>
    <mergeCell ref="H301:H302"/>
    <mergeCell ref="A305:B305"/>
    <mergeCell ref="K301:K302"/>
    <mergeCell ref="A303:B303"/>
    <mergeCell ref="A304:B304"/>
    <mergeCell ref="A301:B302"/>
    <mergeCell ref="C301:C302"/>
    <mergeCell ref="D301:D302"/>
    <mergeCell ref="E301:E302"/>
    <mergeCell ref="F301:F302"/>
    <mergeCell ref="A315:B315"/>
    <mergeCell ref="H367:H376"/>
    <mergeCell ref="A368:B368"/>
    <mergeCell ref="A369:B369"/>
    <mergeCell ref="A319:B319"/>
    <mergeCell ref="A278:B278"/>
    <mergeCell ref="A279:B279"/>
    <mergeCell ref="A284:B284"/>
    <mergeCell ref="A337:B337"/>
    <mergeCell ref="H327:H328"/>
    <mergeCell ref="K327:K328"/>
    <mergeCell ref="A329:B329"/>
    <mergeCell ref="A330:F330"/>
    <mergeCell ref="G355:G357"/>
    <mergeCell ref="H355:H357"/>
    <mergeCell ref="A336:B336"/>
    <mergeCell ref="F336:F337"/>
    <mergeCell ref="A361:B362"/>
    <mergeCell ref="C361:C362"/>
    <mergeCell ref="D361:D362"/>
    <mergeCell ref="E361:E362"/>
    <mergeCell ref="A326:B326"/>
    <mergeCell ref="A356:B356"/>
    <mergeCell ref="A357:B357"/>
    <mergeCell ref="C351:C352"/>
    <mergeCell ref="D351:D352"/>
    <mergeCell ref="E351:E352"/>
    <mergeCell ref="F351:F352"/>
    <mergeCell ref="E493:E494"/>
    <mergeCell ref="A490:B490"/>
    <mergeCell ref="K479:K480"/>
    <mergeCell ref="A481:B481"/>
    <mergeCell ref="A591:K591"/>
    <mergeCell ref="A592:K592"/>
    <mergeCell ref="A593:K593"/>
    <mergeCell ref="A595:K595"/>
    <mergeCell ref="A598:K598"/>
    <mergeCell ref="F567:F568"/>
    <mergeCell ref="G567:G568"/>
    <mergeCell ref="A491:B491"/>
    <mergeCell ref="A455:B455"/>
    <mergeCell ref="F455:F458"/>
    <mergeCell ref="G455:G458"/>
    <mergeCell ref="A441:B441"/>
    <mergeCell ref="A442:B442"/>
    <mergeCell ref="G442:G451"/>
    <mergeCell ref="H442:H451"/>
    <mergeCell ref="A443:B443"/>
    <mergeCell ref="A548:K548"/>
    <mergeCell ref="C567:C568"/>
    <mergeCell ref="D567:D568"/>
    <mergeCell ref="A454:B454"/>
    <mergeCell ref="A472:K472"/>
    <mergeCell ref="A474:K474"/>
    <mergeCell ref="A477:K477"/>
    <mergeCell ref="A478:K478"/>
    <mergeCell ref="H567:H568"/>
    <mergeCell ref="K567:K568"/>
    <mergeCell ref="A448:B448"/>
    <mergeCell ref="A449:B449"/>
    <mergeCell ref="A450:B450"/>
    <mergeCell ref="A451:B451"/>
    <mergeCell ref="A452:B452"/>
    <mergeCell ref="A453:B453"/>
    <mergeCell ref="A486:B486"/>
    <mergeCell ref="F486:F487"/>
    <mergeCell ref="A487:B487"/>
    <mergeCell ref="A488:B488"/>
    <mergeCell ref="A489:B489"/>
    <mergeCell ref="K557:K558"/>
    <mergeCell ref="A559:B559"/>
    <mergeCell ref="A560:B560"/>
    <mergeCell ref="A561:B561"/>
    <mergeCell ref="G561:G563"/>
    <mergeCell ref="H561:H563"/>
    <mergeCell ref="A562:B562"/>
    <mergeCell ref="A563:B563"/>
    <mergeCell ref="A557:B558"/>
    <mergeCell ref="C557:C558"/>
    <mergeCell ref="D557:D558"/>
    <mergeCell ref="E557:E558"/>
    <mergeCell ref="F557:F558"/>
    <mergeCell ref="A482:B482"/>
    <mergeCell ref="F493:F494"/>
    <mergeCell ref="A415:B415"/>
    <mergeCell ref="G415:G417"/>
    <mergeCell ref="H415:H417"/>
    <mergeCell ref="I394:I395"/>
    <mergeCell ref="E394:E395"/>
    <mergeCell ref="F394:F395"/>
    <mergeCell ref="H436:H437"/>
    <mergeCell ref="K436:K437"/>
    <mergeCell ref="A438:B438"/>
    <mergeCell ref="A439:F439"/>
    <mergeCell ref="A405:B405"/>
    <mergeCell ref="J394:J395"/>
    <mergeCell ref="I409:I410"/>
    <mergeCell ref="J409:J410"/>
    <mergeCell ref="K394:K395"/>
    <mergeCell ref="A396:B396"/>
    <mergeCell ref="A403:B403"/>
    <mergeCell ref="A404:B404"/>
    <mergeCell ref="A398:B398"/>
    <mergeCell ref="A394:B395"/>
    <mergeCell ref="H406:H407"/>
    <mergeCell ref="A407:B407"/>
    <mergeCell ref="A408:B408"/>
    <mergeCell ref="G398:G402"/>
    <mergeCell ref="H398:H402"/>
    <mergeCell ref="A399:B399"/>
    <mergeCell ref="A400:B400"/>
    <mergeCell ref="E436:E437"/>
    <mergeCell ref="F436:F437"/>
    <mergeCell ref="G436:G437"/>
    <mergeCell ref="A434:K434"/>
    <mergeCell ref="H483:H487"/>
    <mergeCell ref="A484:B484"/>
    <mergeCell ref="A485:B485"/>
    <mergeCell ref="A479:B480"/>
    <mergeCell ref="C479:C480"/>
    <mergeCell ref="F522:F529"/>
    <mergeCell ref="A523:B523"/>
    <mergeCell ref="F479:F480"/>
    <mergeCell ref="G479:G480"/>
    <mergeCell ref="A327:B328"/>
    <mergeCell ref="C327:C328"/>
    <mergeCell ref="D327:D328"/>
    <mergeCell ref="E327:E328"/>
    <mergeCell ref="F327:F328"/>
    <mergeCell ref="D514:D515"/>
    <mergeCell ref="E514:E515"/>
    <mergeCell ref="F514:F515"/>
    <mergeCell ref="G514:G515"/>
    <mergeCell ref="A435:K435"/>
    <mergeCell ref="A364:F364"/>
    <mergeCell ref="A365:B365"/>
    <mergeCell ref="A366:B366"/>
    <mergeCell ref="A367:B367"/>
    <mergeCell ref="G367:G376"/>
    <mergeCell ref="A331:B331"/>
    <mergeCell ref="C394:C395"/>
    <mergeCell ref="D394:D395"/>
    <mergeCell ref="K409:K410"/>
    <mergeCell ref="A411:B411"/>
    <mergeCell ref="A412:F412"/>
    <mergeCell ref="A413:B413"/>
    <mergeCell ref="A414:B414"/>
    <mergeCell ref="A377:B377"/>
    <mergeCell ref="A378:B378"/>
    <mergeCell ref="A379:B379"/>
    <mergeCell ref="A380:B380"/>
    <mergeCell ref="A458:B458"/>
    <mergeCell ref="A406:B406"/>
    <mergeCell ref="F406:F407"/>
    <mergeCell ref="G406:G407"/>
    <mergeCell ref="A416:B416"/>
    <mergeCell ref="A417:B417"/>
    <mergeCell ref="A524:B524"/>
    <mergeCell ref="H514:H515"/>
    <mergeCell ref="H499:H502"/>
    <mergeCell ref="A533:B533"/>
    <mergeCell ref="F533:F536"/>
    <mergeCell ref="G533:G536"/>
    <mergeCell ref="H533:H536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32:B532"/>
    <mergeCell ref="A520:B520"/>
    <mergeCell ref="G520:G529"/>
    <mergeCell ref="H520:H529"/>
    <mergeCell ref="A521:B521"/>
    <mergeCell ref="A525:B525"/>
    <mergeCell ref="A526:B526"/>
    <mergeCell ref="A493:B494"/>
    <mergeCell ref="C493:C494"/>
    <mergeCell ref="D493:D494"/>
    <mergeCell ref="A421:B421"/>
    <mergeCell ref="E479:E480"/>
    <mergeCell ref="I436:I437"/>
    <mergeCell ref="J436:J437"/>
    <mergeCell ref="I479:I480"/>
    <mergeCell ref="J479:J480"/>
    <mergeCell ref="I493:I494"/>
    <mergeCell ref="A409:B410"/>
    <mergeCell ref="C409:C410"/>
    <mergeCell ref="D409:D410"/>
    <mergeCell ref="E409:E410"/>
    <mergeCell ref="F409:F410"/>
    <mergeCell ref="G409:G410"/>
    <mergeCell ref="H409:H410"/>
    <mergeCell ref="A418:B418"/>
    <mergeCell ref="A419:B419"/>
    <mergeCell ref="A420:B420"/>
    <mergeCell ref="A483:B483"/>
    <mergeCell ref="G483:G487"/>
    <mergeCell ref="C436:C437"/>
    <mergeCell ref="D436:D437"/>
    <mergeCell ref="H479:H480"/>
    <mergeCell ref="A440:B440"/>
    <mergeCell ref="A436:B437"/>
    <mergeCell ref="A444:B444"/>
    <mergeCell ref="F444:F451"/>
    <mergeCell ref="A445:B445"/>
    <mergeCell ref="A446:B446"/>
    <mergeCell ref="A447:B447"/>
    <mergeCell ref="I361:I362"/>
    <mergeCell ref="G351:G352"/>
    <mergeCell ref="H351:H352"/>
    <mergeCell ref="A338:B338"/>
    <mergeCell ref="A371:B371"/>
    <mergeCell ref="A372:B372"/>
    <mergeCell ref="A373:B373"/>
    <mergeCell ref="F373:F376"/>
    <mergeCell ref="A374:B374"/>
    <mergeCell ref="A351:B352"/>
    <mergeCell ref="A360:B360"/>
    <mergeCell ref="F369:F372"/>
    <mergeCell ref="A370:B370"/>
    <mergeCell ref="A344:K344"/>
    <mergeCell ref="J361:J362"/>
    <mergeCell ref="A339:B339"/>
    <mergeCell ref="A375:B375"/>
    <mergeCell ref="A376:B376"/>
    <mergeCell ref="F361:F362"/>
    <mergeCell ref="G361:G362"/>
    <mergeCell ref="H361:H362"/>
    <mergeCell ref="K361:K362"/>
    <mergeCell ref="A363:B363"/>
    <mergeCell ref="B183:F183"/>
    <mergeCell ref="H258:H259"/>
    <mergeCell ref="A259:B259"/>
    <mergeCell ref="A265:K265"/>
    <mergeCell ref="A266:K266"/>
    <mergeCell ref="A267:K267"/>
    <mergeCell ref="A269:K269"/>
    <mergeCell ref="A254:B254"/>
    <mergeCell ref="A255:B255"/>
    <mergeCell ref="A257:B257"/>
    <mergeCell ref="A258:B258"/>
    <mergeCell ref="F258:F259"/>
    <mergeCell ref="G258:G259"/>
    <mergeCell ref="A397:B397"/>
    <mergeCell ref="F400:F402"/>
    <mergeCell ref="A401:B401"/>
    <mergeCell ref="A402:B402"/>
    <mergeCell ref="G394:G395"/>
    <mergeCell ref="H394:H395"/>
    <mergeCell ref="A358:B358"/>
    <mergeCell ref="A359:B359"/>
    <mergeCell ref="G327:G328"/>
    <mergeCell ref="K351:K352"/>
    <mergeCell ref="A353:B353"/>
    <mergeCell ref="A354:B354"/>
    <mergeCell ref="A355:B355"/>
    <mergeCell ref="I301:I302"/>
    <mergeCell ref="J301:J302"/>
    <mergeCell ref="I327:I328"/>
    <mergeCell ref="J327:J328"/>
    <mergeCell ref="I351:I352"/>
    <mergeCell ref="J351:J352"/>
    <mergeCell ref="K208:K209"/>
    <mergeCell ref="A210:B210"/>
    <mergeCell ref="A211:B211"/>
    <mergeCell ref="A212:B212"/>
    <mergeCell ref="A213:B213"/>
    <mergeCell ref="A203:K203"/>
    <mergeCell ref="A206:K206"/>
    <mergeCell ref="A207:K207"/>
    <mergeCell ref="A208:B209"/>
    <mergeCell ref="D234:D235"/>
    <mergeCell ref="A214:B214"/>
    <mergeCell ref="A215:B215"/>
    <mergeCell ref="A216:B216"/>
    <mergeCell ref="A236:B236"/>
    <mergeCell ref="B190:F190"/>
    <mergeCell ref="B192:F192"/>
    <mergeCell ref="B193:F193"/>
    <mergeCell ref="B194:F194"/>
    <mergeCell ref="B191:F191"/>
    <mergeCell ref="B112:F112"/>
    <mergeCell ref="B180:F180"/>
    <mergeCell ref="B142:F142"/>
    <mergeCell ref="B91:F91"/>
    <mergeCell ref="B92:F92"/>
    <mergeCell ref="B114:F114"/>
    <mergeCell ref="B115:F115"/>
    <mergeCell ref="B83:F83"/>
    <mergeCell ref="B141:F141"/>
    <mergeCell ref="B116:F116"/>
    <mergeCell ref="A128:K128"/>
    <mergeCell ref="A130:K130"/>
    <mergeCell ref="B122:F122"/>
    <mergeCell ref="B113:F113"/>
    <mergeCell ref="B123:F123"/>
    <mergeCell ref="B181:F181"/>
    <mergeCell ref="B182:F182"/>
    <mergeCell ref="B86:F86"/>
    <mergeCell ref="B97:F97"/>
    <mergeCell ref="B98:F98"/>
    <mergeCell ref="B170:F170"/>
    <mergeCell ref="B171:F171"/>
    <mergeCell ref="B172:F172"/>
    <mergeCell ref="B166:F166"/>
    <mergeCell ref="B167:F167"/>
    <mergeCell ref="B168:F168"/>
    <mergeCell ref="B169:F169"/>
    <mergeCell ref="B152:F152"/>
    <mergeCell ref="B153:F153"/>
    <mergeCell ref="B154:F154"/>
    <mergeCell ref="B155:F155"/>
    <mergeCell ref="B151:F151"/>
    <mergeCell ref="B44:F44"/>
    <mergeCell ref="B85:F85"/>
    <mergeCell ref="B120:F120"/>
    <mergeCell ref="B121:F121"/>
    <mergeCell ref="B161:F161"/>
    <mergeCell ref="B162:F162"/>
    <mergeCell ref="B163:F163"/>
    <mergeCell ref="B164:F164"/>
    <mergeCell ref="B156:F156"/>
    <mergeCell ref="B159:F159"/>
    <mergeCell ref="B60:F60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84:F84"/>
    <mergeCell ref="B79:F79"/>
    <mergeCell ref="B80:F80"/>
    <mergeCell ref="B81:F81"/>
    <mergeCell ref="B82:F82"/>
    <mergeCell ref="B105:F105"/>
    <mergeCell ref="B106:F106"/>
    <mergeCell ref="B107:F107"/>
    <mergeCell ref="B100:F100"/>
    <mergeCell ref="B99:F99"/>
    <mergeCell ref="B87:F87"/>
    <mergeCell ref="B111:F111"/>
    <mergeCell ref="B61:F61"/>
    <mergeCell ref="B78:F78"/>
    <mergeCell ref="B88:F88"/>
    <mergeCell ref="B108:F108"/>
    <mergeCell ref="B109:F109"/>
    <mergeCell ref="B110:F110"/>
    <mergeCell ref="B102:F102"/>
    <mergeCell ref="B103:F103"/>
    <mergeCell ref="B95:F95"/>
    <mergeCell ref="B96:F96"/>
    <mergeCell ref="B77:F77"/>
    <mergeCell ref="A71:K71"/>
    <mergeCell ref="A72:A73"/>
    <mergeCell ref="B55:F55"/>
    <mergeCell ref="B56:F56"/>
    <mergeCell ref="B57:F57"/>
    <mergeCell ref="B58:F58"/>
    <mergeCell ref="B72:B73"/>
    <mergeCell ref="G72:G73"/>
    <mergeCell ref="H72:H73"/>
    <mergeCell ref="K72:K73"/>
    <mergeCell ref="B89:F89"/>
    <mergeCell ref="B90:F90"/>
    <mergeCell ref="I274:I275"/>
    <mergeCell ref="J274:J275"/>
    <mergeCell ref="A126:K126"/>
    <mergeCell ref="A127:K127"/>
    <mergeCell ref="B117:F117"/>
    <mergeCell ref="B173:F173"/>
    <mergeCell ref="B137:F137"/>
    <mergeCell ref="B138:F138"/>
    <mergeCell ref="B139:F139"/>
    <mergeCell ref="B140:F140"/>
    <mergeCell ref="A199:K199"/>
    <mergeCell ref="A200:K200"/>
    <mergeCell ref="A201:K201"/>
    <mergeCell ref="A245:B245"/>
    <mergeCell ref="A246:B246"/>
    <mergeCell ref="A247:B247"/>
    <mergeCell ref="A248:B248"/>
    <mergeCell ref="B160:F160"/>
    <mergeCell ref="B176:F176"/>
    <mergeCell ref="B177:F177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F239:F243"/>
    <mergeCell ref="F245:F247"/>
    <mergeCell ref="B178:F178"/>
    <mergeCell ref="B179:F179"/>
    <mergeCell ref="B174:F174"/>
    <mergeCell ref="B157:F157"/>
    <mergeCell ref="B158:F158"/>
    <mergeCell ref="A218:B218"/>
    <mergeCell ref="B188:F188"/>
    <mergeCell ref="B189:F189"/>
    <mergeCell ref="E234:E235"/>
    <mergeCell ref="F234:F235"/>
    <mergeCell ref="G234:G235"/>
    <mergeCell ref="B59:F59"/>
    <mergeCell ref="B29:F29"/>
    <mergeCell ref="B30:F30"/>
    <mergeCell ref="B31:F31"/>
    <mergeCell ref="B40:F40"/>
    <mergeCell ref="B41:F41"/>
    <mergeCell ref="B42:F42"/>
    <mergeCell ref="B74:F74"/>
    <mergeCell ref="B75:F75"/>
    <mergeCell ref="B76:F76"/>
    <mergeCell ref="B49:F49"/>
    <mergeCell ref="B38:F38"/>
    <mergeCell ref="B39:F39"/>
    <mergeCell ref="B36:F36"/>
    <mergeCell ref="B37:F37"/>
    <mergeCell ref="B50:F50"/>
    <mergeCell ref="B52:F52"/>
    <mergeCell ref="B54:F54"/>
    <mergeCell ref="B43:F43"/>
    <mergeCell ref="B101:F101"/>
    <mergeCell ref="B104:F104"/>
    <mergeCell ref="B93:F93"/>
    <mergeCell ref="B94:F94"/>
    <mergeCell ref="B26:F26"/>
    <mergeCell ref="B27:F27"/>
    <mergeCell ref="B46:F46"/>
    <mergeCell ref="B48:F48"/>
    <mergeCell ref="A220:B220"/>
    <mergeCell ref="A221:B221"/>
    <mergeCell ref="A234:B235"/>
    <mergeCell ref="C234:C235"/>
    <mergeCell ref="B17:F17"/>
    <mergeCell ref="B18:F18"/>
    <mergeCell ref="B19:F19"/>
    <mergeCell ref="B21:F21"/>
    <mergeCell ref="B22:F22"/>
    <mergeCell ref="B23:F23"/>
    <mergeCell ref="A133:K133"/>
    <mergeCell ref="F248:F250"/>
    <mergeCell ref="A249:B249"/>
    <mergeCell ref="A250:B250"/>
    <mergeCell ref="G208:G209"/>
    <mergeCell ref="H208:H209"/>
    <mergeCell ref="C208:C209"/>
    <mergeCell ref="D208:D209"/>
    <mergeCell ref="E208:E209"/>
    <mergeCell ref="F208:F209"/>
    <mergeCell ref="B187:F187"/>
    <mergeCell ref="B184:F184"/>
    <mergeCell ref="B185:F185"/>
    <mergeCell ref="B186:F186"/>
    <mergeCell ref="B118:F118"/>
    <mergeCell ref="B119:F119"/>
    <mergeCell ref="G214:G216"/>
    <mergeCell ref="H214:H216"/>
    <mergeCell ref="B45:F45"/>
    <mergeCell ref="B51:F51"/>
    <mergeCell ref="A253:B253"/>
    <mergeCell ref="A318:B318"/>
    <mergeCell ref="A256:B256"/>
    <mergeCell ref="A321:B321"/>
    <mergeCell ref="B47:F47"/>
    <mergeCell ref="B53:F53"/>
    <mergeCell ref="B175:F175"/>
    <mergeCell ref="D479:D480"/>
    <mergeCell ref="C514:C515"/>
    <mergeCell ref="A324:I324"/>
    <mergeCell ref="A325:I325"/>
    <mergeCell ref="A219:B219"/>
    <mergeCell ref="A550:K550"/>
    <mergeCell ref="I10:I11"/>
    <mergeCell ref="J10:J11"/>
    <mergeCell ref="I72:I73"/>
    <mergeCell ref="J72:J73"/>
    <mergeCell ref="I135:I136"/>
    <mergeCell ref="J135:J136"/>
    <mergeCell ref="I208:I209"/>
    <mergeCell ref="J208:J209"/>
    <mergeCell ref="I234:I235"/>
    <mergeCell ref="J234:J235"/>
    <mergeCell ref="B24:F24"/>
    <mergeCell ref="B20:F20"/>
    <mergeCell ref="B33:F33"/>
    <mergeCell ref="B34:F34"/>
    <mergeCell ref="B35:F35"/>
    <mergeCell ref="B32:F32"/>
    <mergeCell ref="B25:F25"/>
    <mergeCell ref="K787:K788"/>
    <mergeCell ref="G762:G763"/>
    <mergeCell ref="F781:F782"/>
    <mergeCell ref="F500:F502"/>
    <mergeCell ref="A501:B501"/>
    <mergeCell ref="A502:B502"/>
    <mergeCell ref="A505:K505"/>
    <mergeCell ref="B12:F12"/>
    <mergeCell ref="B13:F13"/>
    <mergeCell ref="B14:F14"/>
    <mergeCell ref="B15:F15"/>
    <mergeCell ref="B28:F28"/>
    <mergeCell ref="I557:I558"/>
    <mergeCell ref="J557:J558"/>
    <mergeCell ref="A565:B565"/>
    <mergeCell ref="A495:B495"/>
    <mergeCell ref="A496:B496"/>
    <mergeCell ref="A497:B497"/>
    <mergeCell ref="A498:B498"/>
    <mergeCell ref="A499:B499"/>
    <mergeCell ref="G499:G502"/>
    <mergeCell ref="H234:H235"/>
    <mergeCell ref="K234:K235"/>
    <mergeCell ref="J493:J494"/>
    <mergeCell ref="J514:J515"/>
    <mergeCell ref="E567:E568"/>
    <mergeCell ref="A566:B566"/>
    <mergeCell ref="A552:K552"/>
    <mergeCell ref="A555:K555"/>
    <mergeCell ref="A556:K556"/>
    <mergeCell ref="A317:B317"/>
    <mergeCell ref="A252:B252"/>
    <mergeCell ref="I1014:I1015"/>
    <mergeCell ref="J1014:J1015"/>
    <mergeCell ref="I1027:I1028"/>
    <mergeCell ref="J1027:J1028"/>
    <mergeCell ref="A877:K877"/>
    <mergeCell ref="A878:K878"/>
    <mergeCell ref="A879:K879"/>
    <mergeCell ref="A881:K881"/>
    <mergeCell ref="A884:K884"/>
    <mergeCell ref="A859:B859"/>
    <mergeCell ref="F854:F855"/>
    <mergeCell ref="A702:B702"/>
    <mergeCell ref="A703:B703"/>
    <mergeCell ref="A704:B704"/>
    <mergeCell ref="H693:H694"/>
    <mergeCell ref="K693:K694"/>
    <mergeCell ref="A695:B695"/>
    <mergeCell ref="A696:B696"/>
    <mergeCell ref="A697:B697"/>
    <mergeCell ref="G797:G798"/>
    <mergeCell ref="H797:H798"/>
    <mergeCell ref="G697:G702"/>
    <mergeCell ref="H697:H702"/>
    <mergeCell ref="A698:B698"/>
    <mergeCell ref="A699:B699"/>
    <mergeCell ref="A693:B694"/>
    <mergeCell ref="C693:C694"/>
    <mergeCell ref="D693:D694"/>
    <mergeCell ref="I693:I694"/>
    <mergeCell ref="K797:K798"/>
    <mergeCell ref="E775:E776"/>
    <mergeCell ref="A738:B738"/>
    <mergeCell ref="A517:F517"/>
    <mergeCell ref="A518:B518"/>
    <mergeCell ref="F571:F573"/>
    <mergeCell ref="J849:J850"/>
    <mergeCell ref="I866:I867"/>
    <mergeCell ref="J866:J867"/>
    <mergeCell ref="I886:I887"/>
    <mergeCell ref="J886:J887"/>
    <mergeCell ref="I902:I903"/>
    <mergeCell ref="J902:J903"/>
    <mergeCell ref="I928:I929"/>
    <mergeCell ref="J928:J929"/>
    <mergeCell ref="I944:I945"/>
    <mergeCell ref="J944:J945"/>
    <mergeCell ref="I972:I973"/>
    <mergeCell ref="I514:I515"/>
    <mergeCell ref="J972:J973"/>
    <mergeCell ref="F693:F694"/>
    <mergeCell ref="G693:G694"/>
    <mergeCell ref="E744:E745"/>
    <mergeCell ref="F744:F745"/>
    <mergeCell ref="D744:D745"/>
    <mergeCell ref="A599:K599"/>
    <mergeCell ref="A575:B575"/>
    <mergeCell ref="A576:B576"/>
    <mergeCell ref="F576:F578"/>
    <mergeCell ref="G576:G578"/>
    <mergeCell ref="H576:H578"/>
    <mergeCell ref="A577:B577"/>
    <mergeCell ref="A578:B578"/>
    <mergeCell ref="A569:B569"/>
    <mergeCell ref="A608:B608"/>
    <mergeCell ref="A571:B571"/>
    <mergeCell ref="G571:G574"/>
    <mergeCell ref="H571:H574"/>
    <mergeCell ref="A519:B519"/>
    <mergeCell ref="A514:B515"/>
    <mergeCell ref="K514:K515"/>
    <mergeCell ref="A516:B516"/>
    <mergeCell ref="A564:B564"/>
    <mergeCell ref="A506:K506"/>
    <mergeCell ref="G557:G558"/>
    <mergeCell ref="H557:H558"/>
    <mergeCell ref="A500:B500"/>
    <mergeCell ref="A570:B570"/>
    <mergeCell ref="G493:G494"/>
    <mergeCell ref="H493:H494"/>
    <mergeCell ref="K493:K494"/>
    <mergeCell ref="H976:H981"/>
    <mergeCell ref="G976:G981"/>
    <mergeCell ref="K849:K850"/>
    <mergeCell ref="A851:B851"/>
    <mergeCell ref="A852:B852"/>
    <mergeCell ref="I645:I646"/>
    <mergeCell ref="J645:J646"/>
    <mergeCell ref="I567:I568"/>
    <mergeCell ref="J567:J568"/>
    <mergeCell ref="I600:I601"/>
    <mergeCell ref="J600:J601"/>
    <mergeCell ref="A507:K507"/>
    <mergeCell ref="A509:K509"/>
    <mergeCell ref="A512:K512"/>
    <mergeCell ref="A513:K513"/>
    <mergeCell ref="A522:B52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10" firstPageNumber="8" orientation="landscape" useFirstPageNumber="1" verticalDpi="300" r:id="rId1"/>
  <headerFooter alignWithMargins="0"/>
  <rowBreaks count="8" manualBreakCount="8">
    <brk id="62" max="10" man="1"/>
    <brk id="125" max="10" man="1"/>
    <brk id="198" max="10" man="1"/>
    <brk id="223" max="10" man="1"/>
    <brk id="261" max="10" man="1"/>
    <brk id="504" max="10" man="1"/>
    <brk id="839" max="10" man="1"/>
    <brk id="876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K154"/>
  <sheetViews>
    <sheetView showGridLines="0" showWhiteSpace="0" topLeftCell="A13" zoomScale="30" zoomScaleNormal="30" zoomScaleSheetLayoutView="30" zoomScalePageLayoutView="25" workbookViewId="0">
      <selection activeCell="K152" sqref="K152"/>
    </sheetView>
  </sheetViews>
  <sheetFormatPr defaultRowHeight="35.1" customHeight="1"/>
  <cols>
    <col min="1" max="1" width="122.28515625" style="41" customWidth="1"/>
    <col min="2" max="2" width="112.42578125" style="27" customWidth="1"/>
    <col min="3" max="3" width="70.42578125" style="27" customWidth="1"/>
    <col min="4" max="4" width="26.7109375" style="27" customWidth="1"/>
    <col min="5" max="5" width="106.28515625" style="27" customWidth="1"/>
    <col min="6" max="6" width="70.85546875" style="11" customWidth="1"/>
    <col min="7" max="7" width="36.42578125" style="11" customWidth="1"/>
    <col min="8" max="8" width="26" style="11" customWidth="1"/>
    <col min="9" max="9" width="52.7109375" style="11" customWidth="1"/>
    <col min="10" max="10" width="53" style="11" customWidth="1"/>
    <col min="11" max="11" width="58.7109375" style="11" bestFit="1" customWidth="1"/>
    <col min="12" max="14" width="9.140625" style="27"/>
    <col min="15" max="15" width="20.5703125" style="27" bestFit="1" customWidth="1"/>
    <col min="16" max="16384" width="9.140625" style="27"/>
  </cols>
  <sheetData>
    <row r="1" spans="1:11" ht="34.5" customHeight="1">
      <c r="A1" s="1128" t="s">
        <v>51</v>
      </c>
      <c r="B1" s="1128"/>
      <c r="C1" s="1128"/>
      <c r="D1" s="1128"/>
      <c r="E1" s="1128"/>
      <c r="F1" s="1128"/>
      <c r="G1" s="1128"/>
      <c r="H1" s="1128"/>
      <c r="I1" s="1128"/>
      <c r="J1" s="1128"/>
      <c r="K1" s="1128"/>
    </row>
    <row r="2" spans="1:11" ht="30.75" customHeight="1">
      <c r="A2" s="1128" t="s">
        <v>52</v>
      </c>
      <c r="B2" s="1128"/>
      <c r="C2" s="1128"/>
      <c r="D2" s="1128"/>
      <c r="E2" s="1128"/>
      <c r="F2" s="1128"/>
      <c r="G2" s="1128"/>
      <c r="H2" s="1128"/>
      <c r="I2" s="1128"/>
      <c r="J2" s="1128"/>
      <c r="K2" s="1128"/>
    </row>
    <row r="3" spans="1:11" ht="33" customHeight="1">
      <c r="A3" s="1132" t="s">
        <v>50</v>
      </c>
      <c r="B3" s="1132"/>
      <c r="C3" s="1132"/>
      <c r="D3" s="1132"/>
      <c r="E3" s="1132"/>
      <c r="F3" s="1132"/>
      <c r="G3" s="1132"/>
      <c r="H3" s="1132"/>
      <c r="I3" s="1132"/>
      <c r="J3" s="1132"/>
      <c r="K3" s="1132"/>
    </row>
    <row r="4" spans="1:11" ht="33" customHeight="1">
      <c r="A4" s="154"/>
      <c r="B4" s="154"/>
      <c r="C4" s="154"/>
      <c r="D4" s="154"/>
      <c r="E4" s="154"/>
      <c r="F4" s="154"/>
      <c r="G4" s="707"/>
      <c r="H4" s="707"/>
      <c r="I4" s="707"/>
      <c r="J4" s="707"/>
      <c r="K4" s="707"/>
    </row>
    <row r="5" spans="1:11" ht="35.25">
      <c r="A5" s="1128" t="s">
        <v>1336</v>
      </c>
      <c r="B5" s="1128"/>
      <c r="C5" s="1128"/>
      <c r="D5" s="1128"/>
      <c r="E5" s="1128"/>
      <c r="F5" s="1128"/>
      <c r="G5" s="1128"/>
      <c r="H5" s="1128"/>
      <c r="I5" s="1128"/>
      <c r="J5" s="1128"/>
      <c r="K5" s="1128"/>
    </row>
    <row r="6" spans="1:11" ht="20.100000000000001" customHeight="1">
      <c r="A6" s="65"/>
      <c r="B6" s="65"/>
      <c r="C6" s="65"/>
      <c r="D6" s="65"/>
      <c r="E6" s="65"/>
      <c r="F6" s="65"/>
      <c r="G6" s="68"/>
      <c r="H6" s="68"/>
      <c r="I6" s="68"/>
      <c r="J6" s="68"/>
      <c r="K6" s="68"/>
    </row>
    <row r="7" spans="1:11" ht="20.100000000000001" customHeight="1">
      <c r="A7" s="65"/>
      <c r="B7" s="65"/>
      <c r="C7" s="65"/>
      <c r="D7" s="65"/>
      <c r="E7" s="65"/>
      <c r="F7" s="65"/>
      <c r="G7" s="68"/>
      <c r="H7" s="68"/>
      <c r="I7" s="68"/>
      <c r="J7" s="68"/>
      <c r="K7" s="68"/>
    </row>
    <row r="8" spans="1:11" ht="44.25" customHeight="1">
      <c r="A8" s="979"/>
      <c r="B8" s="979"/>
      <c r="C8" s="979"/>
      <c r="D8" s="979"/>
      <c r="E8" s="979"/>
      <c r="F8" s="979"/>
      <c r="G8" s="979"/>
      <c r="H8" s="979"/>
      <c r="I8" s="979"/>
      <c r="J8" s="979"/>
      <c r="K8" s="979"/>
    </row>
    <row r="9" spans="1:11" ht="50.25">
      <c r="A9" s="1029" t="s">
        <v>135</v>
      </c>
      <c r="B9" s="1029"/>
      <c r="C9" s="1029"/>
      <c r="D9" s="1029"/>
      <c r="E9" s="1029"/>
      <c r="F9" s="1029"/>
      <c r="G9" s="1029"/>
      <c r="H9" s="1029"/>
      <c r="I9" s="1029"/>
      <c r="J9" s="1029"/>
      <c r="K9" s="1029"/>
    </row>
    <row r="10" spans="1:11" s="500" customFormat="1" ht="87" customHeight="1">
      <c r="A10" s="1017" t="s">
        <v>425</v>
      </c>
      <c r="B10" s="1149"/>
      <c r="C10" s="767" t="s">
        <v>1392</v>
      </c>
      <c r="D10" s="768" t="s">
        <v>1389</v>
      </c>
      <c r="E10" s="768" t="s">
        <v>16</v>
      </c>
      <c r="F10" s="768" t="s">
        <v>440</v>
      </c>
      <c r="G10" s="768" t="s">
        <v>178</v>
      </c>
      <c r="H10" s="768" t="s">
        <v>179</v>
      </c>
      <c r="I10" s="768" t="s">
        <v>180</v>
      </c>
      <c r="J10" s="768" t="s">
        <v>180</v>
      </c>
      <c r="K10" s="768" t="s">
        <v>200</v>
      </c>
    </row>
    <row r="11" spans="1:11" s="510" customFormat="1" ht="75.75" customHeight="1">
      <c r="A11" s="660" t="s">
        <v>17</v>
      </c>
      <c r="B11" s="661"/>
      <c r="C11" s="656"/>
      <c r="D11" s="654"/>
      <c r="E11" s="650"/>
      <c r="F11" s="650"/>
      <c r="G11" s="650"/>
      <c r="H11" s="650"/>
      <c r="I11" s="695" t="e">
        <f>I12+I48+I50+I52</f>
        <v>#REF!</v>
      </c>
      <c r="J11" s="695" t="e">
        <f>J12+J48+J50+J52</f>
        <v>#REF!</v>
      </c>
      <c r="K11" s="695" t="e">
        <f>SUM(K12,K48,K50,K52)</f>
        <v>#REF!</v>
      </c>
    </row>
    <row r="12" spans="1:11" s="544" customFormat="1" ht="74.25" customHeight="1">
      <c r="A12" s="666" t="s">
        <v>708</v>
      </c>
      <c r="B12" s="651"/>
      <c r="C12" s="651"/>
      <c r="D12" s="655"/>
      <c r="E12" s="652"/>
      <c r="F12" s="652"/>
      <c r="G12" s="653"/>
      <c r="H12" s="653"/>
      <c r="I12" s="696" t="e">
        <f>I13+I14+I15+I16+I17+I18+I20+I21+I22+I23+I24+I25+I26+I42+I43+I44+I45+I46+I47+I19</f>
        <v>#REF!</v>
      </c>
      <c r="J12" s="696" t="e">
        <f>J13+J14+J15+J16+J17+J18+J20+J21+J22+J23+J24+J25+J26+J42+J43+J44+J45+J46+J47+J19</f>
        <v>#REF!</v>
      </c>
      <c r="K12" s="696" t="e">
        <f>J12+#REF!</f>
        <v>#REF!</v>
      </c>
    </row>
    <row r="13" spans="1:11" ht="169.5" customHeight="1">
      <c r="A13" s="1150" t="s">
        <v>1459</v>
      </c>
      <c r="B13" s="1151"/>
      <c r="C13" s="659" t="s">
        <v>1399</v>
      </c>
      <c r="D13" s="668" t="s">
        <v>1416</v>
      </c>
      <c r="E13" s="670" t="s">
        <v>778</v>
      </c>
      <c r="F13" s="671">
        <v>8100</v>
      </c>
      <c r="G13" s="672" t="s">
        <v>770</v>
      </c>
      <c r="H13" s="672">
        <v>1600</v>
      </c>
      <c r="I13" s="697" t="e">
        <f>I117</f>
        <v>#REF!</v>
      </c>
      <c r="J13" s="697" t="e">
        <f>J117</f>
        <v>#REF!</v>
      </c>
      <c r="K13" s="697" t="e">
        <f>SUM(J13,#REF!)</f>
        <v>#REF!</v>
      </c>
    </row>
    <row r="14" spans="1:11" ht="180" customHeight="1">
      <c r="A14" s="1152" t="s">
        <v>1460</v>
      </c>
      <c r="B14" s="1153"/>
      <c r="C14" s="659" t="s">
        <v>1400</v>
      </c>
      <c r="D14" s="668" t="s">
        <v>1417</v>
      </c>
      <c r="E14" s="670" t="s">
        <v>781</v>
      </c>
      <c r="F14" s="671" t="s">
        <v>1406</v>
      </c>
      <c r="G14" s="672" t="s">
        <v>770</v>
      </c>
      <c r="H14" s="672">
        <v>692</v>
      </c>
      <c r="I14" s="697" t="e">
        <f>I119</f>
        <v>#REF!</v>
      </c>
      <c r="J14" s="697" t="e">
        <f>J119</f>
        <v>#REF!</v>
      </c>
      <c r="K14" s="697" t="e">
        <f>SUM(J14,#REF!)</f>
        <v>#REF!</v>
      </c>
    </row>
    <row r="15" spans="1:11" ht="233.25" customHeight="1">
      <c r="A15" s="1154" t="s">
        <v>1461</v>
      </c>
      <c r="B15" s="1155"/>
      <c r="C15" s="1158" t="s">
        <v>1401</v>
      </c>
      <c r="D15" s="668" t="s">
        <v>1418</v>
      </c>
      <c r="E15" s="671" t="s">
        <v>1250</v>
      </c>
      <c r="F15" s="671" t="s">
        <v>1321</v>
      </c>
      <c r="G15" s="672" t="s">
        <v>1422</v>
      </c>
      <c r="H15" s="672">
        <v>170</v>
      </c>
      <c r="I15" s="697" t="e">
        <f>I123</f>
        <v>#REF!</v>
      </c>
      <c r="J15" s="697" t="e">
        <f>J123</f>
        <v>#REF!</v>
      </c>
      <c r="K15" s="697" t="e">
        <f>SUM(J15,#REF!)</f>
        <v>#REF!</v>
      </c>
    </row>
    <row r="16" spans="1:11" ht="132.75" customHeight="1">
      <c r="A16" s="1156"/>
      <c r="B16" s="1157"/>
      <c r="C16" s="1159"/>
      <c r="D16" s="668" t="s">
        <v>1419</v>
      </c>
      <c r="E16" s="671">
        <v>108293</v>
      </c>
      <c r="F16" s="671" t="s">
        <v>1321</v>
      </c>
      <c r="G16" s="672" t="s">
        <v>1421</v>
      </c>
      <c r="H16" s="672">
        <v>170</v>
      </c>
      <c r="I16" s="697" t="e">
        <f>I122</f>
        <v>#REF!</v>
      </c>
      <c r="J16" s="697" t="e">
        <f>J122</f>
        <v>#REF!</v>
      </c>
      <c r="K16" s="697" t="e">
        <f>SUM(J16,#REF!)</f>
        <v>#REF!</v>
      </c>
    </row>
    <row r="17" spans="1:11" ht="209.25" customHeight="1">
      <c r="A17" s="1160" t="s">
        <v>1462</v>
      </c>
      <c r="B17" s="1161"/>
      <c r="C17" s="1164" t="s">
        <v>1402</v>
      </c>
      <c r="D17" s="668" t="s">
        <v>1420</v>
      </c>
      <c r="E17" s="671">
        <v>108287</v>
      </c>
      <c r="F17" s="671" t="s">
        <v>1406</v>
      </c>
      <c r="G17" s="672" t="s">
        <v>769</v>
      </c>
      <c r="H17" s="672" t="s">
        <v>903</v>
      </c>
      <c r="I17" s="697" t="e">
        <f>I125</f>
        <v>#REF!</v>
      </c>
      <c r="J17" s="697" t="e">
        <f>J125</f>
        <v>#REF!</v>
      </c>
      <c r="K17" s="697" t="e">
        <f>SUM(J17,#REF!)</f>
        <v>#REF!</v>
      </c>
    </row>
    <row r="18" spans="1:11" ht="106.5" customHeight="1">
      <c r="A18" s="1162"/>
      <c r="B18" s="1163"/>
      <c r="C18" s="1165"/>
      <c r="D18" s="667" t="s">
        <v>1427</v>
      </c>
      <c r="E18" s="671">
        <v>108287</v>
      </c>
      <c r="F18" s="671" t="s">
        <v>1406</v>
      </c>
      <c r="G18" s="672"/>
      <c r="H18" s="672"/>
      <c r="I18" s="697" t="e">
        <f>I126</f>
        <v>#REF!</v>
      </c>
      <c r="J18" s="697" t="e">
        <f>J126</f>
        <v>#REF!</v>
      </c>
      <c r="K18" s="697" t="e">
        <f>SUM(J18,#REF!)</f>
        <v>#REF!</v>
      </c>
    </row>
    <row r="19" spans="1:11" ht="220.5">
      <c r="A19" s="1162"/>
      <c r="B19" s="1163"/>
      <c r="C19" s="1165"/>
      <c r="D19" s="668" t="s">
        <v>1470</v>
      </c>
      <c r="E19" s="673"/>
      <c r="F19" s="671" t="s">
        <v>1408</v>
      </c>
      <c r="G19" s="672" t="s">
        <v>932</v>
      </c>
      <c r="H19" s="672" t="s">
        <v>903</v>
      </c>
      <c r="I19" s="697">
        <v>200000</v>
      </c>
      <c r="J19" s="697">
        <v>200000</v>
      </c>
      <c r="K19" s="697" t="e">
        <f>SUM(J19,#REF!)</f>
        <v>#REF!</v>
      </c>
    </row>
    <row r="20" spans="1:11" ht="100.5" customHeight="1">
      <c r="A20" s="1162"/>
      <c r="B20" s="1163"/>
      <c r="C20" s="1165"/>
      <c r="D20" s="668" t="s">
        <v>1390</v>
      </c>
      <c r="E20" s="673"/>
      <c r="F20" s="671" t="s">
        <v>1408</v>
      </c>
      <c r="G20" s="672" t="s">
        <v>932</v>
      </c>
      <c r="H20" s="672" t="s">
        <v>903</v>
      </c>
      <c r="I20" s="697">
        <v>400000</v>
      </c>
      <c r="J20" s="697">
        <v>400000</v>
      </c>
      <c r="K20" s="697" t="e">
        <f>SUM(J20,#REF!)</f>
        <v>#REF!</v>
      </c>
    </row>
    <row r="21" spans="1:11" ht="220.5">
      <c r="A21" s="1162"/>
      <c r="B21" s="1163"/>
      <c r="C21" s="1165"/>
      <c r="D21" s="668" t="s">
        <v>1391</v>
      </c>
      <c r="E21" s="673"/>
      <c r="F21" s="671" t="s">
        <v>1408</v>
      </c>
      <c r="G21" s="672" t="s">
        <v>932</v>
      </c>
      <c r="H21" s="672" t="s">
        <v>903</v>
      </c>
      <c r="I21" s="697">
        <v>200000</v>
      </c>
      <c r="J21" s="697">
        <v>200000</v>
      </c>
      <c r="K21" s="697" t="e">
        <f>SUM(J21,#REF!)</f>
        <v>#REF!</v>
      </c>
    </row>
    <row r="22" spans="1:11" ht="220.5">
      <c r="A22" s="1162"/>
      <c r="B22" s="1163"/>
      <c r="C22" s="1165"/>
      <c r="D22" s="668" t="s">
        <v>1393</v>
      </c>
      <c r="E22" s="673"/>
      <c r="F22" s="671" t="s">
        <v>1408</v>
      </c>
      <c r="G22" s="672" t="s">
        <v>932</v>
      </c>
      <c r="H22" s="672" t="s">
        <v>903</v>
      </c>
      <c r="I22" s="697">
        <v>210387</v>
      </c>
      <c r="J22" s="697">
        <v>210387</v>
      </c>
      <c r="K22" s="697" t="e">
        <f>SUM(J22,#REF!)</f>
        <v>#REF!</v>
      </c>
    </row>
    <row r="23" spans="1:11" ht="220.5">
      <c r="A23" s="1162"/>
      <c r="B23" s="1163"/>
      <c r="C23" s="1165"/>
      <c r="D23" s="668" t="s">
        <v>1394</v>
      </c>
      <c r="E23" s="673"/>
      <c r="F23" s="671" t="s">
        <v>1408</v>
      </c>
      <c r="G23" s="672" t="s">
        <v>932</v>
      </c>
      <c r="H23" s="672" t="s">
        <v>903</v>
      </c>
      <c r="I23" s="697">
        <v>200000</v>
      </c>
      <c r="J23" s="697">
        <v>200000</v>
      </c>
      <c r="K23" s="697" t="e">
        <f>SUM(J23,#REF!)</f>
        <v>#REF!</v>
      </c>
    </row>
    <row r="24" spans="1:11" ht="220.5">
      <c r="A24" s="1162"/>
      <c r="B24" s="1163"/>
      <c r="C24" s="1165"/>
      <c r="D24" s="668" t="s">
        <v>1395</v>
      </c>
      <c r="E24" s="673"/>
      <c r="F24" s="671" t="s">
        <v>1408</v>
      </c>
      <c r="G24" s="672" t="s">
        <v>932</v>
      </c>
      <c r="H24" s="672" t="s">
        <v>903</v>
      </c>
      <c r="I24" s="697">
        <v>1100000</v>
      </c>
      <c r="J24" s="697">
        <v>1100000</v>
      </c>
      <c r="K24" s="697" t="e">
        <f>SUM(J24,#REF!)</f>
        <v>#REF!</v>
      </c>
    </row>
    <row r="25" spans="1:11" ht="220.5">
      <c r="A25" s="1162"/>
      <c r="B25" s="1163"/>
      <c r="C25" s="1165"/>
      <c r="D25" s="668" t="s">
        <v>1396</v>
      </c>
      <c r="E25" s="673"/>
      <c r="F25" s="671" t="s">
        <v>1408</v>
      </c>
      <c r="G25" s="672" t="s">
        <v>932</v>
      </c>
      <c r="H25" s="672" t="s">
        <v>903</v>
      </c>
      <c r="I25" s="697">
        <v>200000</v>
      </c>
      <c r="J25" s="697">
        <v>200000</v>
      </c>
      <c r="K25" s="697" t="e">
        <f>SUM(J25,#REF!)</f>
        <v>#REF!</v>
      </c>
    </row>
    <row r="26" spans="1:11" ht="116.25" customHeight="1">
      <c r="A26" s="1156"/>
      <c r="B26" s="1157"/>
      <c r="C26" s="1166"/>
      <c r="D26" s="668" t="s">
        <v>1397</v>
      </c>
      <c r="E26" s="673"/>
      <c r="F26" s="671" t="s">
        <v>1408</v>
      </c>
      <c r="G26" s="672" t="s">
        <v>932</v>
      </c>
      <c r="H26" s="672" t="s">
        <v>903</v>
      </c>
      <c r="I26" s="697">
        <v>5109774</v>
      </c>
      <c r="J26" s="697">
        <v>5109774</v>
      </c>
      <c r="K26" s="697" t="e">
        <f>SUM(J26,#REF!)</f>
        <v>#REF!</v>
      </c>
    </row>
    <row r="27" spans="1:11" ht="44.25">
      <c r="A27" s="1147" t="s">
        <v>1409</v>
      </c>
      <c r="B27" s="1147"/>
      <c r="C27" s="1147"/>
      <c r="D27" s="1148"/>
      <c r="E27" s="1148"/>
      <c r="F27" s="1148"/>
      <c r="G27" s="534"/>
      <c r="H27" s="534"/>
      <c r="I27" s="535"/>
      <c r="J27" s="535"/>
      <c r="K27" s="535"/>
    </row>
    <row r="28" spans="1:11" ht="61.5">
      <c r="A28" s="734"/>
      <c r="B28" s="734"/>
      <c r="C28" s="734"/>
      <c r="D28" s="770"/>
      <c r="E28" s="770"/>
      <c r="F28" s="770"/>
      <c r="G28" s="534"/>
      <c r="H28" s="534"/>
      <c r="I28" s="535"/>
      <c r="J28" s="535"/>
      <c r="K28" s="735"/>
    </row>
    <row r="29" spans="1:11" ht="34.5" customHeight="1">
      <c r="A29" s="1128" t="s">
        <v>51</v>
      </c>
      <c r="B29" s="1128"/>
      <c r="C29" s="1128"/>
      <c r="D29" s="1128"/>
      <c r="E29" s="1128"/>
      <c r="F29" s="1128"/>
      <c r="G29" s="1128"/>
      <c r="H29" s="1128"/>
      <c r="I29" s="1128"/>
      <c r="J29" s="1128"/>
      <c r="K29" s="1128"/>
    </row>
    <row r="30" spans="1:11" ht="30.75" customHeight="1">
      <c r="A30" s="1128" t="s">
        <v>52</v>
      </c>
      <c r="B30" s="1128"/>
      <c r="C30" s="1128"/>
      <c r="D30" s="1128"/>
      <c r="E30" s="1128"/>
      <c r="F30" s="1128"/>
      <c r="G30" s="1128"/>
      <c r="H30" s="1128"/>
      <c r="I30" s="1128"/>
      <c r="J30" s="1128"/>
      <c r="K30" s="1128"/>
    </row>
    <row r="31" spans="1:11" ht="33" customHeight="1">
      <c r="A31" s="1132" t="s">
        <v>50</v>
      </c>
      <c r="B31" s="1132"/>
      <c r="C31" s="1132"/>
      <c r="D31" s="1132"/>
      <c r="E31" s="1132"/>
      <c r="F31" s="1132"/>
      <c r="G31" s="1132"/>
      <c r="H31" s="1132"/>
      <c r="I31" s="1132"/>
      <c r="J31" s="1132"/>
      <c r="K31" s="1132"/>
    </row>
    <row r="32" spans="1:11" ht="33" customHeight="1">
      <c r="A32" s="154"/>
      <c r="B32" s="154"/>
      <c r="C32" s="154"/>
      <c r="D32" s="154"/>
      <c r="E32" s="154"/>
      <c r="F32" s="154"/>
      <c r="G32" s="707"/>
      <c r="H32" s="707"/>
      <c r="I32" s="707"/>
      <c r="J32" s="707"/>
      <c r="K32" s="707"/>
    </row>
    <row r="33" spans="1:11" ht="35.25">
      <c r="A33" s="1128" t="s">
        <v>1336</v>
      </c>
      <c r="B33" s="1128"/>
      <c r="C33" s="1128"/>
      <c r="D33" s="1128"/>
      <c r="E33" s="1128"/>
      <c r="F33" s="1128"/>
      <c r="G33" s="1128"/>
      <c r="H33" s="1128"/>
      <c r="I33" s="1128"/>
      <c r="J33" s="1128"/>
      <c r="K33" s="1128"/>
    </row>
    <row r="34" spans="1:11" ht="20.100000000000001" customHeight="1">
      <c r="A34" s="65"/>
      <c r="B34" s="65"/>
      <c r="C34" s="65"/>
      <c r="D34" s="65"/>
      <c r="E34" s="65"/>
      <c r="F34" s="65"/>
      <c r="G34" s="68"/>
      <c r="H34" s="68"/>
      <c r="I34" s="68"/>
      <c r="J34" s="68"/>
      <c r="K34" s="68"/>
    </row>
    <row r="35" spans="1:11" ht="20.100000000000001" customHeight="1">
      <c r="A35" s="65"/>
      <c r="B35" s="65"/>
      <c r="C35" s="65"/>
      <c r="D35" s="65"/>
      <c r="E35" s="65"/>
      <c r="F35" s="65"/>
      <c r="G35" s="68"/>
      <c r="H35" s="68"/>
      <c r="I35" s="68"/>
      <c r="J35" s="68"/>
      <c r="K35" s="68"/>
    </row>
    <row r="36" spans="1:11" ht="44.25" customHeight="1">
      <c r="A36" s="979"/>
      <c r="B36" s="979"/>
      <c r="C36" s="979"/>
      <c r="D36" s="979"/>
      <c r="E36" s="979"/>
      <c r="F36" s="979"/>
      <c r="G36" s="979"/>
      <c r="H36" s="979"/>
      <c r="I36" s="979"/>
      <c r="J36" s="979"/>
      <c r="K36" s="979"/>
    </row>
    <row r="37" spans="1:11" ht="50.25">
      <c r="A37" s="1029" t="s">
        <v>135</v>
      </c>
      <c r="B37" s="1029"/>
      <c r="C37" s="1029"/>
      <c r="D37" s="1029"/>
      <c r="E37" s="1029"/>
      <c r="F37" s="1029"/>
      <c r="G37" s="1029"/>
      <c r="H37" s="1029"/>
      <c r="I37" s="1029"/>
      <c r="J37" s="1029"/>
      <c r="K37" s="1029"/>
    </row>
    <row r="38" spans="1:11" s="500" customFormat="1" ht="87" customHeight="1">
      <c r="A38" s="1017" t="s">
        <v>425</v>
      </c>
      <c r="B38" s="1149"/>
      <c r="C38" s="767" t="s">
        <v>1392</v>
      </c>
      <c r="D38" s="768" t="s">
        <v>1389</v>
      </c>
      <c r="E38" s="768" t="s">
        <v>16</v>
      </c>
      <c r="F38" s="768" t="s">
        <v>440</v>
      </c>
      <c r="G38" s="768" t="s">
        <v>178</v>
      </c>
      <c r="H38" s="768" t="s">
        <v>179</v>
      </c>
      <c r="I38" s="768" t="s">
        <v>180</v>
      </c>
      <c r="J38" s="768" t="s">
        <v>180</v>
      </c>
      <c r="K38" s="768" t="s">
        <v>200</v>
      </c>
    </row>
    <row r="39" spans="1:11" s="510" customFormat="1" ht="64.5" customHeight="1">
      <c r="A39" s="660" t="s">
        <v>17</v>
      </c>
      <c r="B39" s="661"/>
      <c r="C39" s="664"/>
      <c r="D39" s="654"/>
      <c r="E39" s="650"/>
      <c r="F39" s="650"/>
      <c r="G39" s="650"/>
      <c r="H39" s="650"/>
      <c r="I39" s="695" t="e">
        <f>I12+I48+I50+I52</f>
        <v>#REF!</v>
      </c>
      <c r="J39" s="695" t="e">
        <f>J12+J48+J50+J52</f>
        <v>#REF!</v>
      </c>
      <c r="K39" s="695" t="e">
        <f>SUM(K48,K90,K92,K94)</f>
        <v>#REF!</v>
      </c>
    </row>
    <row r="40" spans="1:11" s="544" customFormat="1" ht="74.25" customHeight="1">
      <c r="A40" s="666" t="s">
        <v>708</v>
      </c>
      <c r="B40" s="651"/>
      <c r="C40" s="651"/>
      <c r="D40" s="655"/>
      <c r="E40" s="652"/>
      <c r="F40" s="652"/>
      <c r="G40" s="653"/>
      <c r="H40" s="653"/>
      <c r="I40" s="696" t="e">
        <f>I13+I14+I15+I16+I17+I18+I20+I21+I22+I23+I24+I25+I26+I42+I43+I44+I45+I46+I47</f>
        <v>#REF!</v>
      </c>
      <c r="J40" s="696" t="e">
        <f>J13+J14+J15+J16+J17+J18+J20+J21+J22+J23+J24+J25+J26+J42+J43+J44+J45+J46+J47</f>
        <v>#REF!</v>
      </c>
      <c r="K40" s="696" t="e">
        <f>J40+#REF!</f>
        <v>#REF!</v>
      </c>
    </row>
    <row r="41" spans="1:11" ht="44.25">
      <c r="A41" s="1167" t="s">
        <v>1410</v>
      </c>
      <c r="B41" s="1167"/>
      <c r="C41" s="1167"/>
      <c r="D41" s="1168"/>
      <c r="E41" s="1168"/>
      <c r="F41" s="1168"/>
      <c r="G41" s="665"/>
      <c r="H41" s="665"/>
      <c r="I41" s="648"/>
      <c r="J41" s="648"/>
      <c r="K41" s="648"/>
    </row>
    <row r="42" spans="1:11" ht="170.25" customHeight="1">
      <c r="A42" s="1160" t="s">
        <v>1458</v>
      </c>
      <c r="B42" s="1161"/>
      <c r="C42" s="1164" t="s">
        <v>1403</v>
      </c>
      <c r="D42" s="668" t="s">
        <v>1425</v>
      </c>
      <c r="E42" s="671">
        <v>108288</v>
      </c>
      <c r="F42" s="671" t="s">
        <v>1406</v>
      </c>
      <c r="G42" s="1169" t="s">
        <v>770</v>
      </c>
      <c r="H42" s="1171">
        <v>48650</v>
      </c>
      <c r="I42" s="697" t="e">
        <f>I128+I129+I130+#REF!+I131+I132+I133+I134+I135</f>
        <v>#REF!</v>
      </c>
      <c r="J42" s="697" t="e">
        <f>J128+J129+J130+#REF!+J131+J132+J133+J134+J135</f>
        <v>#REF!</v>
      </c>
      <c r="K42" s="697" t="e">
        <f>SUM(J42,#REF!)</f>
        <v>#REF!</v>
      </c>
    </row>
    <row r="43" spans="1:11" ht="95.25" customHeight="1">
      <c r="A43" s="1156"/>
      <c r="B43" s="1157"/>
      <c r="C43" s="1166"/>
      <c r="D43" s="668" t="s">
        <v>1426</v>
      </c>
      <c r="E43" s="671">
        <v>138154</v>
      </c>
      <c r="F43" s="671" t="s">
        <v>1406</v>
      </c>
      <c r="G43" s="1170"/>
      <c r="H43" s="1172"/>
      <c r="I43" s="697" t="e">
        <f>I136</f>
        <v>#REF!</v>
      </c>
      <c r="J43" s="697" t="e">
        <f>J136</f>
        <v>#REF!</v>
      </c>
      <c r="K43" s="697" t="e">
        <f>SUM(J43,#REF!)</f>
        <v>#REF!</v>
      </c>
    </row>
    <row r="44" spans="1:11" ht="155.25" customHeight="1">
      <c r="A44" s="1160" t="s">
        <v>1463</v>
      </c>
      <c r="B44" s="1161"/>
      <c r="C44" s="1164" t="s">
        <v>1404</v>
      </c>
      <c r="D44" s="668" t="s">
        <v>1428</v>
      </c>
      <c r="E44" s="673">
        <v>108289</v>
      </c>
      <c r="F44" s="671" t="s">
        <v>1321</v>
      </c>
      <c r="G44" s="769" t="s">
        <v>770</v>
      </c>
      <c r="H44" s="769">
        <v>30</v>
      </c>
      <c r="I44" s="697" t="e">
        <f t="shared" ref="I44:J46" si="0">I138</f>
        <v>#REF!</v>
      </c>
      <c r="J44" s="697" t="e">
        <f t="shared" si="0"/>
        <v>#REF!</v>
      </c>
      <c r="K44" s="697" t="e">
        <f>SUM(J44,#REF!)</f>
        <v>#REF!</v>
      </c>
    </row>
    <row r="45" spans="1:11" ht="128.25" customHeight="1">
      <c r="A45" s="1176"/>
      <c r="B45" s="1177"/>
      <c r="C45" s="1166"/>
      <c r="D45" s="668" t="s">
        <v>1429</v>
      </c>
      <c r="E45" s="671">
        <v>108298</v>
      </c>
      <c r="F45" s="671" t="s">
        <v>1321</v>
      </c>
      <c r="G45" s="672" t="s">
        <v>771</v>
      </c>
      <c r="H45" s="706">
        <v>54954</v>
      </c>
      <c r="I45" s="697" t="e">
        <f t="shared" si="0"/>
        <v>#REF!</v>
      </c>
      <c r="J45" s="697" t="e">
        <f t="shared" si="0"/>
        <v>#REF!</v>
      </c>
      <c r="K45" s="697" t="e">
        <f>SUM(J45,#REF!)</f>
        <v>#REF!</v>
      </c>
    </row>
    <row r="46" spans="1:11" ht="190.5" customHeight="1">
      <c r="A46" s="1154" t="s">
        <v>1464</v>
      </c>
      <c r="B46" s="1155"/>
      <c r="C46" s="1164" t="s">
        <v>1405</v>
      </c>
      <c r="D46" s="668" t="s">
        <v>1430</v>
      </c>
      <c r="E46" s="673">
        <v>108290</v>
      </c>
      <c r="F46" s="671" t="s">
        <v>1407</v>
      </c>
      <c r="G46" s="672" t="s">
        <v>772</v>
      </c>
      <c r="H46" s="672" t="s">
        <v>834</v>
      </c>
      <c r="I46" s="697" t="e">
        <f t="shared" si="0"/>
        <v>#REF!</v>
      </c>
      <c r="J46" s="697" t="e">
        <f t="shared" si="0"/>
        <v>#REF!</v>
      </c>
      <c r="K46" s="697" t="e">
        <f>SUM(J46,#REF!)</f>
        <v>#REF!</v>
      </c>
    </row>
    <row r="47" spans="1:11" ht="100.5" customHeight="1">
      <c r="A47" s="1156"/>
      <c r="B47" s="1157"/>
      <c r="C47" s="1166"/>
      <c r="D47" s="669" t="s">
        <v>1398</v>
      </c>
      <c r="E47" s="673">
        <v>140984</v>
      </c>
      <c r="F47" s="671" t="s">
        <v>1408</v>
      </c>
      <c r="G47" s="672" t="s">
        <v>772</v>
      </c>
      <c r="H47" s="672" t="s">
        <v>903</v>
      </c>
      <c r="I47" s="697">
        <v>0</v>
      </c>
      <c r="J47" s="697">
        <v>0</v>
      </c>
      <c r="K47" s="697" t="e">
        <f>SUM(J47,#REF!)</f>
        <v>#REF!</v>
      </c>
    </row>
    <row r="48" spans="1:11" s="544" customFormat="1" ht="90" customHeight="1">
      <c r="A48" s="678" t="s">
        <v>418</v>
      </c>
      <c r="B48" s="662"/>
      <c r="C48" s="662"/>
      <c r="D48" s="674"/>
      <c r="E48" s="663"/>
      <c r="F48" s="663"/>
      <c r="G48" s="675"/>
      <c r="H48" s="675"/>
      <c r="I48" s="696" t="e">
        <f>SUM(I49:I49)</f>
        <v>#REF!</v>
      </c>
      <c r="J48" s="696" t="e">
        <f>SUM(J49:J49)</f>
        <v>#REF!</v>
      </c>
      <c r="K48" s="696" t="e">
        <f>SUM(K49:K49)</f>
        <v>#REF!</v>
      </c>
    </row>
    <row r="49" spans="1:11" ht="208.5" customHeight="1">
      <c r="A49" s="1160" t="s">
        <v>1423</v>
      </c>
      <c r="B49" s="1161"/>
      <c r="C49" s="659" t="s">
        <v>1413</v>
      </c>
      <c r="D49" s="668" t="s">
        <v>1431</v>
      </c>
      <c r="E49" s="670" t="s">
        <v>686</v>
      </c>
      <c r="F49" s="671" t="s">
        <v>1406</v>
      </c>
      <c r="G49" s="672" t="s">
        <v>18</v>
      </c>
      <c r="H49" s="672">
        <v>1828</v>
      </c>
      <c r="I49" s="697" t="e">
        <f>I142</f>
        <v>#REF!</v>
      </c>
      <c r="J49" s="697" t="e">
        <f>J142</f>
        <v>#REF!</v>
      </c>
      <c r="K49" s="697" t="e">
        <f>K142</f>
        <v>#REF!</v>
      </c>
    </row>
    <row r="50" spans="1:11" s="544" customFormat="1" ht="90" customHeight="1">
      <c r="A50" s="1173" t="s">
        <v>711</v>
      </c>
      <c r="B50" s="1174"/>
      <c r="C50" s="1175"/>
      <c r="D50" s="676"/>
      <c r="E50" s="540"/>
      <c r="F50" s="540"/>
      <c r="G50" s="677"/>
      <c r="H50" s="677"/>
      <c r="I50" s="696" t="e">
        <f t="shared" ref="I50:K52" si="1">SUM(I51:I51)</f>
        <v>#REF!</v>
      </c>
      <c r="J50" s="696" t="e">
        <f t="shared" si="1"/>
        <v>#REF!</v>
      </c>
      <c r="K50" s="696" t="e">
        <f t="shared" si="1"/>
        <v>#REF!</v>
      </c>
    </row>
    <row r="51" spans="1:11" ht="211.5" customHeight="1">
      <c r="A51" s="1160" t="s">
        <v>1411</v>
      </c>
      <c r="B51" s="1161"/>
      <c r="C51" s="659" t="s">
        <v>1414</v>
      </c>
      <c r="D51" s="668" t="s">
        <v>1432</v>
      </c>
      <c r="E51" s="673">
        <v>149343</v>
      </c>
      <c r="F51" s="671" t="s">
        <v>1321</v>
      </c>
      <c r="G51" s="672"/>
      <c r="H51" s="672"/>
      <c r="I51" s="697" t="e">
        <f>I146</f>
        <v>#REF!</v>
      </c>
      <c r="J51" s="697" t="e">
        <f>J146</f>
        <v>#REF!</v>
      </c>
      <c r="K51" s="697" t="e">
        <f>K147</f>
        <v>#REF!</v>
      </c>
    </row>
    <row r="52" spans="1:11" s="544" customFormat="1" ht="89.25" customHeight="1">
      <c r="A52" s="1173" t="s">
        <v>430</v>
      </c>
      <c r="B52" s="1174"/>
      <c r="C52" s="1175"/>
      <c r="D52" s="676"/>
      <c r="E52" s="540"/>
      <c r="F52" s="540"/>
      <c r="G52" s="677"/>
      <c r="H52" s="677"/>
      <c r="I52" s="696" t="e">
        <f t="shared" si="1"/>
        <v>#REF!</v>
      </c>
      <c r="J52" s="696" t="e">
        <f t="shared" si="1"/>
        <v>#REF!</v>
      </c>
      <c r="K52" s="696" t="e">
        <f>SUM(J52:J52)</f>
        <v>#REF!</v>
      </c>
    </row>
    <row r="53" spans="1:11" ht="162.75" customHeight="1">
      <c r="A53" s="1020" t="s">
        <v>1412</v>
      </c>
      <c r="B53" s="1022"/>
      <c r="C53" s="659" t="s">
        <v>1415</v>
      </c>
      <c r="D53" s="668" t="s">
        <v>1424</v>
      </c>
      <c r="E53" s="673">
        <v>138152</v>
      </c>
      <c r="F53" s="671" t="s">
        <v>1321</v>
      </c>
      <c r="G53" s="672"/>
      <c r="H53" s="672"/>
      <c r="I53" s="697" t="e">
        <f>I148</f>
        <v>#REF!</v>
      </c>
      <c r="J53" s="697" t="e">
        <f>J148</f>
        <v>#REF!</v>
      </c>
      <c r="K53" s="697" t="e">
        <f>SUM(J53:J53)</f>
        <v>#REF!</v>
      </c>
    </row>
    <row r="54" spans="1:11" s="51" customFormat="1" ht="45.75" customHeight="1">
      <c r="A54" s="1147" t="s">
        <v>1409</v>
      </c>
      <c r="B54" s="1147"/>
      <c r="C54" s="1147"/>
      <c r="G54" s="11"/>
      <c r="H54" s="11"/>
      <c r="I54" s="11"/>
      <c r="J54" s="11"/>
      <c r="K54" s="11"/>
    </row>
    <row r="55" spans="1:11" ht="34.5" customHeight="1">
      <c r="A55" s="1128" t="s">
        <v>51</v>
      </c>
      <c r="B55" s="1128"/>
      <c r="C55" s="1128"/>
      <c r="D55" s="1128"/>
      <c r="E55" s="1128"/>
      <c r="F55" s="1128"/>
      <c r="G55" s="1128"/>
      <c r="H55" s="1128"/>
      <c r="I55" s="1128"/>
      <c r="J55" s="1128"/>
      <c r="K55" s="1128"/>
    </row>
    <row r="56" spans="1:11" ht="30.75" customHeight="1">
      <c r="A56" s="1128" t="s">
        <v>52</v>
      </c>
      <c r="B56" s="1128"/>
      <c r="C56" s="1128"/>
      <c r="D56" s="1128"/>
      <c r="E56" s="1128"/>
      <c r="F56" s="1128"/>
      <c r="G56" s="1128"/>
      <c r="H56" s="1128"/>
      <c r="I56" s="1128"/>
      <c r="J56" s="1128"/>
      <c r="K56" s="1128"/>
    </row>
    <row r="57" spans="1:11" ht="33" customHeight="1">
      <c r="A57" s="1132" t="s">
        <v>50</v>
      </c>
      <c r="B57" s="1132"/>
      <c r="C57" s="1132"/>
      <c r="D57" s="1132"/>
      <c r="E57" s="1132"/>
      <c r="F57" s="1132"/>
      <c r="G57" s="1132"/>
      <c r="H57" s="1132"/>
      <c r="I57" s="1132"/>
      <c r="J57" s="1132"/>
      <c r="K57" s="1132"/>
    </row>
    <row r="58" spans="1:11" ht="33" customHeight="1">
      <c r="A58" s="154"/>
      <c r="B58" s="154"/>
      <c r="C58" s="154"/>
      <c r="D58" s="154"/>
      <c r="E58" s="154"/>
      <c r="F58" s="154"/>
      <c r="G58" s="707"/>
      <c r="H58" s="707"/>
      <c r="I58" s="707"/>
      <c r="J58" s="707"/>
      <c r="K58" s="707"/>
    </row>
    <row r="59" spans="1:11" ht="35.25">
      <c r="A59" s="1128" t="s">
        <v>1336</v>
      </c>
      <c r="B59" s="1128"/>
      <c r="C59" s="1128"/>
      <c r="D59" s="1128"/>
      <c r="E59" s="1128"/>
      <c r="F59" s="1128"/>
      <c r="G59" s="1128"/>
      <c r="H59" s="1128"/>
      <c r="I59" s="1128"/>
      <c r="J59" s="1128"/>
      <c r="K59" s="1128"/>
    </row>
    <row r="60" spans="1:11" ht="20.100000000000001" customHeight="1">
      <c r="A60" s="65"/>
      <c r="B60" s="65"/>
      <c r="C60" s="65"/>
      <c r="D60" s="65"/>
      <c r="E60" s="65"/>
      <c r="F60" s="65"/>
      <c r="G60" s="68"/>
      <c r="H60" s="68"/>
      <c r="I60" s="68"/>
      <c r="J60" s="68"/>
      <c r="K60" s="68"/>
    </row>
    <row r="61" spans="1:11" ht="20.100000000000001" customHeight="1">
      <c r="A61" s="65"/>
      <c r="B61" s="65"/>
      <c r="C61" s="65"/>
      <c r="D61" s="65"/>
      <c r="E61" s="65"/>
      <c r="F61" s="65"/>
      <c r="G61" s="68"/>
      <c r="H61" s="68"/>
      <c r="I61" s="68"/>
      <c r="J61" s="68"/>
      <c r="K61" s="68"/>
    </row>
    <row r="62" spans="1:11" ht="44.25" customHeight="1">
      <c r="A62" s="979"/>
      <c r="B62" s="979"/>
      <c r="C62" s="979"/>
      <c r="D62" s="979"/>
      <c r="E62" s="979"/>
      <c r="F62" s="979"/>
      <c r="G62" s="979"/>
      <c r="H62" s="979"/>
      <c r="I62" s="979"/>
      <c r="J62" s="979"/>
      <c r="K62" s="979"/>
    </row>
    <row r="63" spans="1:11" ht="50.25">
      <c r="A63" s="1029" t="s">
        <v>135</v>
      </c>
      <c r="B63" s="1029"/>
      <c r="C63" s="1029"/>
      <c r="D63" s="1029"/>
      <c r="E63" s="1029"/>
      <c r="F63" s="1029"/>
      <c r="G63" s="1029"/>
      <c r="H63" s="1029"/>
      <c r="I63" s="1029"/>
      <c r="J63" s="1029"/>
      <c r="K63" s="1029"/>
    </row>
    <row r="64" spans="1:11" s="500" customFormat="1" ht="87" customHeight="1">
      <c r="A64" s="1017" t="s">
        <v>425</v>
      </c>
      <c r="B64" s="1149"/>
      <c r="C64" s="767" t="s">
        <v>1392</v>
      </c>
      <c r="D64" s="768" t="s">
        <v>1389</v>
      </c>
      <c r="E64" s="768" t="s">
        <v>16</v>
      </c>
      <c r="F64" s="768" t="s">
        <v>440</v>
      </c>
      <c r="G64" s="768" t="s">
        <v>178</v>
      </c>
      <c r="H64" s="768" t="s">
        <v>179</v>
      </c>
      <c r="I64" s="768" t="s">
        <v>180</v>
      </c>
      <c r="J64" s="768" t="s">
        <v>180</v>
      </c>
      <c r="K64" s="768" t="s">
        <v>200</v>
      </c>
    </row>
    <row r="65" spans="1:11" ht="44.25">
      <c r="A65" s="1167" t="s">
        <v>1410</v>
      </c>
      <c r="B65" s="1167"/>
      <c r="C65" s="1167"/>
      <c r="D65" s="1168"/>
      <c r="E65" s="1168"/>
      <c r="F65" s="1168"/>
      <c r="G65" s="665"/>
      <c r="H65" s="665"/>
      <c r="I65" s="648"/>
      <c r="J65" s="648"/>
      <c r="K65" s="648"/>
    </row>
    <row r="66" spans="1:11" s="510" customFormat="1" ht="64.5" customHeight="1">
      <c r="A66" s="1178" t="s">
        <v>133</v>
      </c>
      <c r="B66" s="1179"/>
      <c r="C66" s="657"/>
      <c r="D66" s="679"/>
      <c r="E66" s="679"/>
      <c r="F66" s="504"/>
      <c r="G66" s="504"/>
      <c r="H66" s="504"/>
      <c r="I66" s="695">
        <f>I67+I70+I74</f>
        <v>1118509989</v>
      </c>
      <c r="J66" s="695">
        <f>J67+J70+J74</f>
        <v>1118509989</v>
      </c>
      <c r="K66" s="695" t="e">
        <f>SUM(K67,K70,K74)</f>
        <v>#REF!</v>
      </c>
    </row>
    <row r="67" spans="1:11" s="544" customFormat="1" ht="90" customHeight="1">
      <c r="A67" s="666" t="s">
        <v>418</v>
      </c>
      <c r="B67" s="651"/>
      <c r="C67" s="658"/>
      <c r="D67" s="680"/>
      <c r="E67" s="680"/>
      <c r="F67" s="540"/>
      <c r="G67" s="541"/>
      <c r="H67" s="541"/>
      <c r="I67" s="696">
        <f>SUM(I68:I69)</f>
        <v>764372825</v>
      </c>
      <c r="J67" s="696">
        <f>SUM(J68:J69)</f>
        <v>764372825</v>
      </c>
      <c r="K67" s="696" t="e">
        <f>SUM(K68:K69)</f>
        <v>#REF!</v>
      </c>
    </row>
    <row r="68" spans="1:11" ht="260.25" customHeight="1">
      <c r="A68" s="1020" t="s">
        <v>1438</v>
      </c>
      <c r="B68" s="1022"/>
      <c r="C68" s="659" t="s">
        <v>1435</v>
      </c>
      <c r="D68" s="681" t="s">
        <v>1444</v>
      </c>
      <c r="E68" s="671" t="s">
        <v>933</v>
      </c>
      <c r="F68" s="671">
        <v>8100</v>
      </c>
      <c r="G68" s="672"/>
      <c r="H68" s="672"/>
      <c r="I68" s="697">
        <v>122109000</v>
      </c>
      <c r="J68" s="697">
        <v>122109000</v>
      </c>
      <c r="K68" s="697" t="e">
        <f>SUM(J68,#REF!)</f>
        <v>#REF!</v>
      </c>
    </row>
    <row r="69" spans="1:11" ht="132" customHeight="1">
      <c r="A69" s="1020" t="s">
        <v>1439</v>
      </c>
      <c r="B69" s="1022"/>
      <c r="C69" s="659" t="s">
        <v>1436</v>
      </c>
      <c r="D69" s="681" t="s">
        <v>1445</v>
      </c>
      <c r="E69" s="671" t="s">
        <v>934</v>
      </c>
      <c r="F69" s="671">
        <v>8100</v>
      </c>
      <c r="G69" s="672"/>
      <c r="H69" s="672"/>
      <c r="I69" s="697">
        <v>642263825</v>
      </c>
      <c r="J69" s="697">
        <v>642263825</v>
      </c>
      <c r="K69" s="697" t="e">
        <f>SUM(J69,#REF!)</f>
        <v>#REF!</v>
      </c>
    </row>
    <row r="70" spans="1:11" s="544" customFormat="1" ht="90" customHeight="1">
      <c r="A70" s="666" t="s">
        <v>272</v>
      </c>
      <c r="B70" s="651"/>
      <c r="C70" s="658"/>
      <c r="D70" s="680"/>
      <c r="E70" s="680"/>
      <c r="F70" s="540"/>
      <c r="G70" s="541"/>
      <c r="H70" s="541"/>
      <c r="I70" s="696">
        <f>SUM(I71:I73)</f>
        <v>347945000</v>
      </c>
      <c r="J70" s="696">
        <f>SUM(J71:J73)</f>
        <v>347945000</v>
      </c>
      <c r="K70" s="696" t="e">
        <f>SUM(K71:K73)</f>
        <v>#REF!</v>
      </c>
    </row>
    <row r="71" spans="1:11" ht="135.75" customHeight="1">
      <c r="A71" s="1020" t="s">
        <v>1440</v>
      </c>
      <c r="B71" s="1022"/>
      <c r="C71" s="1164" t="s">
        <v>1437</v>
      </c>
      <c r="D71" s="1181" t="s">
        <v>1442</v>
      </c>
      <c r="E71" s="1184" t="s">
        <v>935</v>
      </c>
      <c r="F71" s="671" t="s">
        <v>1321</v>
      </c>
      <c r="G71" s="672"/>
      <c r="H71" s="672"/>
      <c r="I71" s="697">
        <v>126476408</v>
      </c>
      <c r="J71" s="697">
        <v>126476408</v>
      </c>
      <c r="K71" s="697" t="e">
        <f>SUM(J71,#REF!)</f>
        <v>#REF!</v>
      </c>
    </row>
    <row r="72" spans="1:11" ht="130.5" customHeight="1">
      <c r="A72" s="1020" t="s">
        <v>1440</v>
      </c>
      <c r="B72" s="1022"/>
      <c r="C72" s="1180"/>
      <c r="D72" s="1182"/>
      <c r="E72" s="1185"/>
      <c r="F72" s="671" t="s">
        <v>1468</v>
      </c>
      <c r="G72" s="672"/>
      <c r="H72" s="672"/>
      <c r="I72" s="697">
        <v>86036942</v>
      </c>
      <c r="J72" s="697">
        <v>86036942</v>
      </c>
      <c r="K72" s="697" t="e">
        <f>SUM(J72,#REF!)</f>
        <v>#REF!</v>
      </c>
    </row>
    <row r="73" spans="1:11" ht="130.5" customHeight="1">
      <c r="A73" s="1020" t="s">
        <v>1440</v>
      </c>
      <c r="B73" s="1022"/>
      <c r="C73" s="1159"/>
      <c r="D73" s="1183"/>
      <c r="E73" s="1186"/>
      <c r="F73" s="671" t="s">
        <v>1469</v>
      </c>
      <c r="G73" s="672"/>
      <c r="H73" s="672"/>
      <c r="I73" s="697">
        <v>135431650</v>
      </c>
      <c r="J73" s="697">
        <v>135431650</v>
      </c>
      <c r="K73" s="697" t="e">
        <f>SUM(J73,#REF!)</f>
        <v>#REF!</v>
      </c>
    </row>
    <row r="74" spans="1:11" s="544" customFormat="1" ht="90" customHeight="1">
      <c r="A74" s="666" t="s">
        <v>271</v>
      </c>
      <c r="B74" s="651"/>
      <c r="C74" s="658"/>
      <c r="D74" s="680"/>
      <c r="E74" s="680"/>
      <c r="F74" s="540"/>
      <c r="G74" s="541"/>
      <c r="H74" s="541"/>
      <c r="I74" s="696">
        <f>SUM(I75:I76)</f>
        <v>6192164</v>
      </c>
      <c r="J74" s="696">
        <f>SUM(J75:J76)</f>
        <v>6192164</v>
      </c>
      <c r="K74" s="696" t="e">
        <f>SUM(K75:K76)</f>
        <v>#REF!</v>
      </c>
    </row>
    <row r="75" spans="1:11" ht="147" customHeight="1">
      <c r="A75" s="1020" t="s">
        <v>1433</v>
      </c>
      <c r="B75" s="1022"/>
      <c r="C75" s="1164" t="s">
        <v>1441</v>
      </c>
      <c r="D75" s="646" t="s">
        <v>1443</v>
      </c>
      <c r="E75" s="671" t="s">
        <v>920</v>
      </c>
      <c r="F75" s="671">
        <v>8100</v>
      </c>
      <c r="G75" s="672"/>
      <c r="H75" s="672"/>
      <c r="I75" s="697">
        <v>4688156</v>
      </c>
      <c r="J75" s="697">
        <v>4688156</v>
      </c>
      <c r="K75" s="697" t="e">
        <f>SUM(J75,#REF!)</f>
        <v>#REF!</v>
      </c>
    </row>
    <row r="76" spans="1:11" ht="145.5" customHeight="1">
      <c r="A76" s="1020" t="s">
        <v>1434</v>
      </c>
      <c r="B76" s="1022"/>
      <c r="C76" s="1159"/>
      <c r="D76" s="646" t="s">
        <v>1443</v>
      </c>
      <c r="E76" s="671" t="s">
        <v>920</v>
      </c>
      <c r="F76" s="671">
        <v>8100</v>
      </c>
      <c r="G76" s="672"/>
      <c r="H76" s="672"/>
      <c r="I76" s="697">
        <v>1504008</v>
      </c>
      <c r="J76" s="697">
        <v>1504008</v>
      </c>
      <c r="K76" s="697" t="e">
        <f>SUM(J76,#REF!)</f>
        <v>#REF!</v>
      </c>
    </row>
    <row r="77" spans="1:11" s="51" customFormat="1" ht="45.75" customHeight="1">
      <c r="A77" s="1147" t="s">
        <v>1409</v>
      </c>
      <c r="B77" s="1147"/>
      <c r="C77" s="1147"/>
      <c r="G77" s="11"/>
      <c r="H77" s="11"/>
      <c r="I77" s="11"/>
      <c r="J77" s="11"/>
      <c r="K77" s="11"/>
    </row>
    <row r="78" spans="1:11" ht="34.5" customHeight="1">
      <c r="A78" s="1128" t="s">
        <v>51</v>
      </c>
      <c r="B78" s="1128"/>
      <c r="C78" s="1128"/>
      <c r="D78" s="1128"/>
      <c r="E78" s="1128"/>
      <c r="F78" s="1128"/>
      <c r="G78" s="1128"/>
      <c r="H78" s="1128"/>
      <c r="I78" s="1128"/>
      <c r="J78" s="1128"/>
      <c r="K78" s="1128"/>
    </row>
    <row r="79" spans="1:11" ht="30.75" customHeight="1">
      <c r="A79" s="1128" t="s">
        <v>52</v>
      </c>
      <c r="B79" s="1128"/>
      <c r="C79" s="1128"/>
      <c r="D79" s="1128"/>
      <c r="E79" s="1128"/>
      <c r="F79" s="1128"/>
      <c r="G79" s="1128"/>
      <c r="H79" s="1128"/>
      <c r="I79" s="1128"/>
      <c r="J79" s="1128"/>
      <c r="K79" s="1128"/>
    </row>
    <row r="80" spans="1:11" ht="33" customHeight="1">
      <c r="A80" s="1132" t="s">
        <v>50</v>
      </c>
      <c r="B80" s="1132"/>
      <c r="C80" s="1132"/>
      <c r="D80" s="1132"/>
      <c r="E80" s="1132"/>
      <c r="F80" s="1132"/>
      <c r="G80" s="1132"/>
      <c r="H80" s="1132"/>
      <c r="I80" s="1132"/>
      <c r="J80" s="1132"/>
      <c r="K80" s="1132"/>
    </row>
    <row r="81" spans="1:11" ht="33" customHeight="1">
      <c r="A81" s="154"/>
      <c r="B81" s="154"/>
      <c r="C81" s="154"/>
      <c r="D81" s="154"/>
      <c r="E81" s="154"/>
      <c r="F81" s="154"/>
      <c r="G81" s="707"/>
      <c r="H81" s="707"/>
      <c r="I81" s="707"/>
      <c r="J81" s="707"/>
      <c r="K81" s="707"/>
    </row>
    <row r="82" spans="1:11" ht="35.25">
      <c r="A82" s="1128" t="s">
        <v>1336</v>
      </c>
      <c r="B82" s="1128"/>
      <c r="C82" s="1128"/>
      <c r="D82" s="1128"/>
      <c r="E82" s="1128"/>
      <c r="F82" s="1128"/>
      <c r="G82" s="1128"/>
      <c r="H82" s="1128"/>
      <c r="I82" s="1128"/>
      <c r="J82" s="1128"/>
      <c r="K82" s="1128"/>
    </row>
    <row r="83" spans="1:11" ht="20.100000000000001" customHeight="1">
      <c r="A83" s="65"/>
      <c r="B83" s="65"/>
      <c r="C83" s="65"/>
      <c r="D83" s="65"/>
      <c r="E83" s="65"/>
      <c r="F83" s="65"/>
      <c r="G83" s="68"/>
      <c r="H83" s="68"/>
      <c r="I83" s="68"/>
      <c r="J83" s="68"/>
      <c r="K83" s="68"/>
    </row>
    <row r="84" spans="1:11" ht="20.100000000000001" customHeight="1">
      <c r="A84" s="65"/>
      <c r="B84" s="65"/>
      <c r="C84" s="65"/>
      <c r="D84" s="65"/>
      <c r="E84" s="65"/>
      <c r="F84" s="65"/>
      <c r="G84" s="68"/>
      <c r="H84" s="68"/>
      <c r="I84" s="68"/>
      <c r="J84" s="68"/>
      <c r="K84" s="68"/>
    </row>
    <row r="85" spans="1:11" ht="44.25" customHeight="1">
      <c r="A85" s="979"/>
      <c r="B85" s="979"/>
      <c r="C85" s="979"/>
      <c r="D85" s="979"/>
      <c r="E85" s="979"/>
      <c r="F85" s="979"/>
      <c r="G85" s="979"/>
      <c r="H85" s="979"/>
      <c r="I85" s="979"/>
      <c r="J85" s="979"/>
      <c r="K85" s="979"/>
    </row>
    <row r="86" spans="1:11" ht="50.25">
      <c r="A86" s="1029" t="s">
        <v>135</v>
      </c>
      <c r="B86" s="1029"/>
      <c r="C86" s="1029"/>
      <c r="D86" s="1029"/>
      <c r="E86" s="1029"/>
      <c r="F86" s="1029"/>
      <c r="G86" s="1029"/>
      <c r="H86" s="1029"/>
      <c r="I86" s="1029"/>
      <c r="J86" s="1029"/>
      <c r="K86" s="1029"/>
    </row>
    <row r="87" spans="1:11" s="500" customFormat="1" ht="87" customHeight="1">
      <c r="A87" s="1017" t="s">
        <v>425</v>
      </c>
      <c r="B87" s="1149"/>
      <c r="C87" s="767" t="s">
        <v>1392</v>
      </c>
      <c r="D87" s="768" t="s">
        <v>1389</v>
      </c>
      <c r="E87" s="768" t="s">
        <v>16</v>
      </c>
      <c r="F87" s="768" t="s">
        <v>440</v>
      </c>
      <c r="G87" s="768" t="s">
        <v>178</v>
      </c>
      <c r="H87" s="768" t="s">
        <v>179</v>
      </c>
      <c r="I87" s="768" t="s">
        <v>180</v>
      </c>
      <c r="J87" s="768" t="s">
        <v>180</v>
      </c>
      <c r="K87" s="768" t="s">
        <v>200</v>
      </c>
    </row>
    <row r="88" spans="1:11" ht="44.25">
      <c r="A88" s="1167" t="s">
        <v>1410</v>
      </c>
      <c r="B88" s="1167"/>
      <c r="C88" s="1167"/>
      <c r="D88" s="1168"/>
      <c r="E88" s="1168"/>
      <c r="F88" s="1168"/>
      <c r="G88" s="665"/>
      <c r="H88" s="665"/>
      <c r="I88" s="648"/>
      <c r="J88" s="648"/>
      <c r="K88" s="648"/>
    </row>
    <row r="89" spans="1:11" s="510" customFormat="1" ht="64.5" customHeight="1">
      <c r="A89" s="1178" t="s">
        <v>240</v>
      </c>
      <c r="B89" s="1179"/>
      <c r="C89" s="657"/>
      <c r="D89" s="679"/>
      <c r="E89" s="679"/>
      <c r="F89" s="504"/>
      <c r="G89" s="504"/>
      <c r="H89" s="504"/>
      <c r="I89" s="695" t="e">
        <f>SUM(I90)</f>
        <v>#REF!</v>
      </c>
      <c r="J89" s="695" t="e">
        <f>SUM(J90)</f>
        <v>#REF!</v>
      </c>
      <c r="K89" s="695" t="e">
        <f>SUM(K90)</f>
        <v>#REF!</v>
      </c>
    </row>
    <row r="90" spans="1:11" s="544" customFormat="1" ht="90" customHeight="1">
      <c r="A90" s="666" t="s">
        <v>418</v>
      </c>
      <c r="B90" s="651"/>
      <c r="C90" s="658"/>
      <c r="D90" s="680"/>
      <c r="E90" s="680"/>
      <c r="F90" s="540"/>
      <c r="G90" s="541"/>
      <c r="H90" s="541"/>
      <c r="I90" s="696" t="e">
        <f>SUM(I91:I96)</f>
        <v>#REF!</v>
      </c>
      <c r="J90" s="696" t="e">
        <f>SUM(J91:J96)</f>
        <v>#REF!</v>
      </c>
      <c r="K90" s="696" t="e">
        <f>SUM(K91:K96)</f>
        <v>#REF!</v>
      </c>
    </row>
    <row r="91" spans="1:11" ht="162.75" customHeight="1">
      <c r="A91" s="1020" t="s">
        <v>1448</v>
      </c>
      <c r="B91" s="1022"/>
      <c r="C91" s="1164" t="s">
        <v>1453</v>
      </c>
      <c r="D91" s="647" t="s">
        <v>1449</v>
      </c>
      <c r="E91" s="671">
        <v>138146</v>
      </c>
      <c r="F91" s="671" t="s">
        <v>1406</v>
      </c>
      <c r="G91" s="672"/>
      <c r="H91" s="672"/>
      <c r="I91" s="697">
        <v>2528376</v>
      </c>
      <c r="J91" s="697">
        <v>2528376</v>
      </c>
      <c r="K91" s="697" t="e">
        <f>SUM(J91,#REF!)</f>
        <v>#REF!</v>
      </c>
    </row>
    <row r="92" spans="1:11" ht="154.5" customHeight="1">
      <c r="A92" s="1020" t="s">
        <v>1448</v>
      </c>
      <c r="B92" s="1022"/>
      <c r="C92" s="1180"/>
      <c r="D92" s="647" t="s">
        <v>1450</v>
      </c>
      <c r="E92" s="671" t="s">
        <v>1268</v>
      </c>
      <c r="F92" s="671" t="s">
        <v>1406</v>
      </c>
      <c r="G92" s="672"/>
      <c r="H92" s="672"/>
      <c r="I92" s="697">
        <v>1894200</v>
      </c>
      <c r="J92" s="697">
        <v>1894200</v>
      </c>
      <c r="K92" s="697" t="e">
        <f>SUM(J92,#REF!)</f>
        <v>#REF!</v>
      </c>
    </row>
    <row r="93" spans="1:11" ht="143.25" customHeight="1">
      <c r="A93" s="1020" t="s">
        <v>1448</v>
      </c>
      <c r="B93" s="1022"/>
      <c r="C93" s="1180"/>
      <c r="D93" s="647" t="s">
        <v>1451</v>
      </c>
      <c r="E93" s="671" t="s">
        <v>1272</v>
      </c>
      <c r="F93" s="671" t="s">
        <v>1406</v>
      </c>
      <c r="G93" s="672"/>
      <c r="H93" s="672"/>
      <c r="I93" s="697">
        <v>26343612</v>
      </c>
      <c r="J93" s="697">
        <v>26343612</v>
      </c>
      <c r="K93" s="697" t="e">
        <f>SUM(J93,#REF!)</f>
        <v>#REF!</v>
      </c>
    </row>
    <row r="94" spans="1:11" ht="150" customHeight="1">
      <c r="A94" s="1020" t="s">
        <v>1448</v>
      </c>
      <c r="B94" s="1022"/>
      <c r="C94" s="1159"/>
      <c r="D94" s="647" t="s">
        <v>1452</v>
      </c>
      <c r="E94" s="671" t="s">
        <v>1273</v>
      </c>
      <c r="F94" s="671" t="s">
        <v>1406</v>
      </c>
      <c r="G94" s="672"/>
      <c r="H94" s="672"/>
      <c r="I94" s="697">
        <v>630996</v>
      </c>
      <c r="J94" s="697">
        <v>630996</v>
      </c>
      <c r="K94" s="697" t="e">
        <f>SUM(J94,#REF!)</f>
        <v>#REF!</v>
      </c>
    </row>
    <row r="95" spans="1:11" ht="180" customHeight="1">
      <c r="A95" s="1020" t="s">
        <v>1446</v>
      </c>
      <c r="B95" s="1022"/>
      <c r="C95" s="731" t="s">
        <v>1454</v>
      </c>
      <c r="D95" s="647" t="s">
        <v>1455</v>
      </c>
      <c r="E95" s="671" t="s">
        <v>1263</v>
      </c>
      <c r="F95" s="671" t="s">
        <v>1406</v>
      </c>
      <c r="G95" s="672" t="s">
        <v>1231</v>
      </c>
      <c r="H95" s="672"/>
      <c r="I95" s="697">
        <v>8192892</v>
      </c>
      <c r="J95" s="697">
        <v>8192892</v>
      </c>
      <c r="K95" s="697" t="e">
        <f>SUM(J95,#REF!)</f>
        <v>#REF!</v>
      </c>
    </row>
    <row r="96" spans="1:11" ht="171.75" customHeight="1">
      <c r="A96" s="1020" t="s">
        <v>1447</v>
      </c>
      <c r="B96" s="1022"/>
      <c r="C96" s="731" t="s">
        <v>1456</v>
      </c>
      <c r="D96" s="647" t="s">
        <v>1457</v>
      </c>
      <c r="E96" s="670" t="s">
        <v>801</v>
      </c>
      <c r="F96" s="671" t="s">
        <v>1406</v>
      </c>
      <c r="G96" s="672" t="s">
        <v>1055</v>
      </c>
      <c r="H96" s="672">
        <v>1</v>
      </c>
      <c r="I96" s="697" t="e">
        <f>I144</f>
        <v>#REF!</v>
      </c>
      <c r="J96" s="697" t="e">
        <f>J144</f>
        <v>#REF!</v>
      </c>
      <c r="K96" s="697" t="e">
        <f>SUM(J96:J96)</f>
        <v>#REF!</v>
      </c>
    </row>
    <row r="97" spans="1:11" s="510" customFormat="1" ht="57" customHeight="1">
      <c r="A97" s="1178" t="s">
        <v>81</v>
      </c>
      <c r="B97" s="1179"/>
      <c r="C97" s="657"/>
      <c r="D97" s="679"/>
      <c r="E97" s="679"/>
      <c r="F97" s="504"/>
      <c r="G97" s="504"/>
      <c r="H97" s="504"/>
      <c r="I97" s="695">
        <f>SUM(I98)</f>
        <v>22898980</v>
      </c>
      <c r="J97" s="695">
        <f>SUM(J98)</f>
        <v>22898980</v>
      </c>
      <c r="K97" s="695" t="e">
        <f>SUM(K98)</f>
        <v>#REF!</v>
      </c>
    </row>
    <row r="98" spans="1:11" s="544" customFormat="1" ht="90" customHeight="1">
      <c r="A98" s="666" t="s">
        <v>708</v>
      </c>
      <c r="B98" s="651"/>
      <c r="C98" s="658"/>
      <c r="D98" s="680"/>
      <c r="E98" s="680"/>
      <c r="F98" s="540"/>
      <c r="G98" s="541"/>
      <c r="H98" s="541"/>
      <c r="I98" s="696">
        <f>SUM(I99:I101)</f>
        <v>22898980</v>
      </c>
      <c r="J98" s="696">
        <f>SUM(J99:J101)</f>
        <v>22898980</v>
      </c>
      <c r="K98" s="696" t="e">
        <f>SUM(K99:K101)</f>
        <v>#REF!</v>
      </c>
    </row>
    <row r="99" spans="1:11" ht="132" customHeight="1">
      <c r="A99" s="1020" t="s">
        <v>1458</v>
      </c>
      <c r="B99" s="1022"/>
      <c r="C99" s="1164" t="s">
        <v>1403</v>
      </c>
      <c r="D99" s="1181" t="s">
        <v>1425</v>
      </c>
      <c r="E99" s="683">
        <v>108288</v>
      </c>
      <c r="F99" s="683">
        <v>8250</v>
      </c>
      <c r="G99" s="1169" t="s">
        <v>770</v>
      </c>
      <c r="H99" s="1169">
        <v>48650</v>
      </c>
      <c r="I99" s="697">
        <v>16299240</v>
      </c>
      <c r="J99" s="697">
        <v>16299240</v>
      </c>
      <c r="K99" s="697" t="e">
        <f>SUM(J99,#REF!)</f>
        <v>#REF!</v>
      </c>
    </row>
    <row r="100" spans="1:11" ht="132" customHeight="1">
      <c r="A100" s="1020" t="s">
        <v>1458</v>
      </c>
      <c r="B100" s="1022"/>
      <c r="C100" s="1180"/>
      <c r="D100" s="1182"/>
      <c r="E100" s="683">
        <v>108288</v>
      </c>
      <c r="F100" s="683">
        <v>8280</v>
      </c>
      <c r="G100" s="1187"/>
      <c r="H100" s="1187"/>
      <c r="I100" s="697">
        <v>1548599</v>
      </c>
      <c r="J100" s="697">
        <v>1548599</v>
      </c>
      <c r="K100" s="697" t="e">
        <f>SUM(J100,#REF!)</f>
        <v>#REF!</v>
      </c>
    </row>
    <row r="101" spans="1:11" ht="129" customHeight="1">
      <c r="A101" s="1020" t="s">
        <v>1458</v>
      </c>
      <c r="B101" s="1022"/>
      <c r="C101" s="1159"/>
      <c r="D101" s="1183"/>
      <c r="E101" s="683">
        <v>108288</v>
      </c>
      <c r="F101" s="683">
        <v>8281</v>
      </c>
      <c r="G101" s="1170"/>
      <c r="H101" s="1170"/>
      <c r="I101" s="697">
        <v>5051141</v>
      </c>
      <c r="J101" s="697">
        <v>5051141</v>
      </c>
      <c r="K101" s="697" t="e">
        <f>SUM(J101,#REF!)</f>
        <v>#REF!</v>
      </c>
    </row>
    <row r="102" spans="1:11" s="51" customFormat="1" ht="35.1" customHeight="1">
      <c r="A102" s="771"/>
      <c r="B102" s="771"/>
      <c r="C102" s="80"/>
      <c r="D102" s="771"/>
      <c r="E102" s="771"/>
      <c r="F102" s="771"/>
      <c r="G102" s="43"/>
      <c r="H102" s="43"/>
      <c r="I102" s="43"/>
      <c r="J102" s="43"/>
      <c r="K102" s="43"/>
    </row>
    <row r="103" spans="1:11" ht="20.100000000000001" customHeight="1">
      <c r="A103" s="195"/>
      <c r="B103" s="46"/>
      <c r="C103" s="46"/>
      <c r="D103" s="195"/>
      <c r="E103" s="195"/>
      <c r="F103" s="195"/>
      <c r="G103" s="195"/>
      <c r="H103" s="195"/>
      <c r="I103" s="195"/>
      <c r="J103" s="195"/>
      <c r="K103" s="195"/>
    </row>
    <row r="104" spans="1:11" s="500" customFormat="1" ht="87" customHeight="1">
      <c r="A104" s="1001" t="s">
        <v>200</v>
      </c>
      <c r="B104" s="1002"/>
      <c r="C104" s="1002"/>
      <c r="D104" s="1002"/>
      <c r="E104" s="1002"/>
      <c r="F104" s="1002"/>
      <c r="G104" s="1002"/>
      <c r="H104" s="1003"/>
      <c r="I104" s="682" t="e">
        <f>I97+I89+I66+I39</f>
        <v>#REF!</v>
      </c>
      <c r="J104" s="682" t="e">
        <f>J97+J89+J66+J39</f>
        <v>#REF!</v>
      </c>
      <c r="K104" s="682" t="e">
        <f>J104+#REF!</f>
        <v>#REF!</v>
      </c>
    </row>
    <row r="105" spans="1:11" ht="34.5" customHeight="1">
      <c r="A105" s="1128" t="s">
        <v>51</v>
      </c>
      <c r="B105" s="1128"/>
      <c r="C105" s="1128"/>
      <c r="D105" s="1128"/>
      <c r="E105" s="1128"/>
      <c r="F105" s="1128"/>
      <c r="G105" s="1128"/>
      <c r="H105" s="1128"/>
      <c r="I105" s="1128"/>
      <c r="J105" s="1128"/>
      <c r="K105" s="1128"/>
    </row>
    <row r="106" spans="1:11" ht="30.75" customHeight="1">
      <c r="A106" s="1128" t="s">
        <v>52</v>
      </c>
      <c r="B106" s="1128"/>
      <c r="C106" s="1128"/>
      <c r="D106" s="1128"/>
      <c r="E106" s="1128"/>
      <c r="F106" s="1128"/>
      <c r="G106" s="1128"/>
      <c r="H106" s="1128"/>
      <c r="I106" s="1128"/>
      <c r="J106" s="1128"/>
      <c r="K106" s="1128"/>
    </row>
    <row r="107" spans="1:11" ht="33" customHeight="1">
      <c r="A107" s="1132" t="s">
        <v>50</v>
      </c>
      <c r="B107" s="1132"/>
      <c r="C107" s="1132"/>
      <c r="D107" s="1132"/>
      <c r="E107" s="1132"/>
      <c r="F107" s="1132"/>
      <c r="G107" s="1132"/>
      <c r="H107" s="1132"/>
      <c r="I107" s="1132"/>
      <c r="J107" s="1132"/>
      <c r="K107" s="1132"/>
    </row>
    <row r="108" spans="1:11" ht="33" customHeight="1">
      <c r="A108" s="154"/>
      <c r="B108" s="154"/>
      <c r="C108" s="154"/>
      <c r="D108" s="154"/>
      <c r="E108" s="154"/>
      <c r="F108" s="154"/>
      <c r="G108" s="707"/>
      <c r="H108" s="707"/>
      <c r="I108" s="707"/>
      <c r="J108" s="707"/>
      <c r="K108" s="707"/>
    </row>
    <row r="109" spans="1:11" ht="35.25">
      <c r="A109" s="1128" t="s">
        <v>1336</v>
      </c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</row>
    <row r="110" spans="1:11" ht="20.100000000000001" customHeight="1">
      <c r="A110" s="65"/>
      <c r="B110" s="65"/>
      <c r="C110" s="65"/>
      <c r="D110" s="65"/>
      <c r="E110" s="65"/>
      <c r="F110" s="65"/>
      <c r="G110" s="68"/>
      <c r="H110" s="68"/>
      <c r="I110" s="68"/>
      <c r="J110" s="68"/>
      <c r="K110" s="68"/>
    </row>
    <row r="111" spans="1:11" ht="20.100000000000001" customHeight="1">
      <c r="A111" s="65"/>
      <c r="B111" s="65"/>
      <c r="C111" s="65"/>
      <c r="D111" s="65"/>
      <c r="E111" s="65"/>
      <c r="F111" s="65"/>
      <c r="G111" s="68"/>
      <c r="H111" s="68"/>
      <c r="I111" s="68"/>
      <c r="J111" s="68"/>
      <c r="K111" s="68"/>
    </row>
    <row r="112" spans="1:11" ht="20.100000000000001" customHeight="1">
      <c r="A112" s="65"/>
      <c r="B112" s="65"/>
      <c r="C112" s="65"/>
      <c r="D112" s="65"/>
      <c r="E112" s="65"/>
      <c r="F112" s="65"/>
      <c r="G112" s="68"/>
      <c r="H112" s="68"/>
      <c r="I112" s="68"/>
      <c r="J112" s="68"/>
      <c r="K112" s="68"/>
    </row>
    <row r="113" spans="1:11" ht="44.25" customHeight="1">
      <c r="A113" s="979"/>
      <c r="B113" s="979"/>
      <c r="C113" s="979"/>
      <c r="D113" s="979"/>
      <c r="E113" s="979"/>
      <c r="F113" s="979"/>
      <c r="G113" s="979"/>
      <c r="H113" s="979"/>
      <c r="I113" s="979"/>
      <c r="J113" s="979"/>
      <c r="K113" s="979"/>
    </row>
    <row r="114" spans="1:11" ht="50.25">
      <c r="A114" s="1029" t="s">
        <v>134</v>
      </c>
      <c r="B114" s="1029"/>
      <c r="C114" s="1029"/>
      <c r="D114" s="1029"/>
      <c r="E114" s="1029"/>
      <c r="F114" s="1029"/>
      <c r="G114" s="1029"/>
      <c r="H114" s="1029"/>
      <c r="I114" s="1029"/>
      <c r="J114" s="1029"/>
      <c r="K114" s="1029"/>
    </row>
    <row r="115" spans="1:11" s="555" customFormat="1" ht="63.75" customHeight="1">
      <c r="A115" s="1037"/>
      <c r="B115" s="1031" t="s">
        <v>2213</v>
      </c>
      <c r="C115" s="701"/>
      <c r="D115" s="701"/>
      <c r="E115" s="701"/>
      <c r="F115" s="764"/>
      <c r="G115" s="1188" t="s">
        <v>440</v>
      </c>
      <c r="H115" s="1190" t="s">
        <v>16</v>
      </c>
      <c r="I115" s="1017" t="s">
        <v>180</v>
      </c>
      <c r="J115" s="1149"/>
      <c r="K115" s="1037" t="s">
        <v>200</v>
      </c>
    </row>
    <row r="116" spans="1:11" s="555" customFormat="1" ht="71.25" customHeight="1">
      <c r="A116" s="1038"/>
      <c r="B116" s="1034"/>
      <c r="C116" s="765"/>
      <c r="D116" s="765"/>
      <c r="E116" s="765"/>
      <c r="F116" s="766"/>
      <c r="G116" s="1189"/>
      <c r="H116" s="1191"/>
      <c r="I116" s="768" t="s">
        <v>1490</v>
      </c>
      <c r="J116" s="768" t="s">
        <v>2203</v>
      </c>
      <c r="K116" s="1038"/>
    </row>
    <row r="117" spans="1:11" s="571" customFormat="1" ht="55.5" customHeight="1">
      <c r="A117" s="702"/>
      <c r="B117" s="1195" t="s">
        <v>1483</v>
      </c>
      <c r="C117" s="1196"/>
      <c r="D117" s="1196"/>
      <c r="E117" s="1196"/>
      <c r="F117" s="1197"/>
      <c r="G117" s="703">
        <v>8100</v>
      </c>
      <c r="H117" s="704"/>
      <c r="I117" s="695" t="e">
        <f>SUM(I118)</f>
        <v>#REF!</v>
      </c>
      <c r="J117" s="695" t="e">
        <f>SUM(J118)</f>
        <v>#REF!</v>
      </c>
      <c r="K117" s="695" t="e">
        <f t="shared" ref="K117:K128" si="2">I117+J117</f>
        <v>#REF!</v>
      </c>
    </row>
    <row r="118" spans="1:11" s="548" customFormat="1" ht="49.5" customHeight="1">
      <c r="A118" s="698" t="s">
        <v>196</v>
      </c>
      <c r="B118" s="1192" t="s">
        <v>348</v>
      </c>
      <c r="C118" s="1193"/>
      <c r="D118" s="1193"/>
      <c r="E118" s="1193"/>
      <c r="F118" s="1194"/>
      <c r="G118" s="699"/>
      <c r="H118" s="700">
        <v>108291</v>
      </c>
      <c r="I118" s="697" t="e">
        <f>'UNIDADES ESPECIAIS'!#REF!</f>
        <v>#REF!</v>
      </c>
      <c r="J118" s="697" t="e">
        <f>'UNIDADES ESPECIAIS'!#REF!</f>
        <v>#REF!</v>
      </c>
      <c r="K118" s="697" t="e">
        <f t="shared" si="2"/>
        <v>#REF!</v>
      </c>
    </row>
    <row r="119" spans="1:11" s="571" customFormat="1" ht="74.25" customHeight="1">
      <c r="A119" s="702"/>
      <c r="B119" s="1195" t="s">
        <v>1357</v>
      </c>
      <c r="C119" s="1196"/>
      <c r="D119" s="1196"/>
      <c r="E119" s="1196"/>
      <c r="F119" s="1197"/>
      <c r="G119" s="703">
        <v>8100</v>
      </c>
      <c r="H119" s="704"/>
      <c r="I119" s="695" t="e">
        <f>SUM(I120)</f>
        <v>#REF!</v>
      </c>
      <c r="J119" s="695" t="e">
        <f>SUM(J120)</f>
        <v>#REF!</v>
      </c>
      <c r="K119" s="695" t="e">
        <f t="shared" si="2"/>
        <v>#REF!</v>
      </c>
    </row>
    <row r="120" spans="1:11" s="548" customFormat="1" ht="49.5" customHeight="1">
      <c r="A120" s="698" t="s">
        <v>2</v>
      </c>
      <c r="B120" s="1192" t="s">
        <v>347</v>
      </c>
      <c r="C120" s="1193"/>
      <c r="D120" s="1193"/>
      <c r="E120" s="1193"/>
      <c r="F120" s="1194"/>
      <c r="G120" s="699"/>
      <c r="H120" s="700">
        <v>108286</v>
      </c>
      <c r="I120" s="697" t="e">
        <f>'UNIDADES ESPECIAIS'!#REF!</f>
        <v>#REF!</v>
      </c>
      <c r="J120" s="697" t="e">
        <f>'UNIDADES ESPECIAIS'!#REF!</f>
        <v>#REF!</v>
      </c>
      <c r="K120" s="697" t="e">
        <f t="shared" si="2"/>
        <v>#REF!</v>
      </c>
    </row>
    <row r="121" spans="1:11" s="571" customFormat="1" ht="55.5" customHeight="1">
      <c r="A121" s="702"/>
      <c r="B121" s="1195" t="s">
        <v>1257</v>
      </c>
      <c r="C121" s="1196"/>
      <c r="D121" s="1196"/>
      <c r="E121" s="1196"/>
      <c r="F121" s="1197"/>
      <c r="G121" s="705" t="s">
        <v>1321</v>
      </c>
      <c r="H121" s="704"/>
      <c r="I121" s="695" t="e">
        <f>SUM(I122,I123)</f>
        <v>#REF!</v>
      </c>
      <c r="J121" s="695" t="e">
        <f>SUM(J122,J123)</f>
        <v>#REF!</v>
      </c>
      <c r="K121" s="695" t="e">
        <f t="shared" si="2"/>
        <v>#REF!</v>
      </c>
    </row>
    <row r="122" spans="1:11" s="548" customFormat="1" ht="49.5" customHeight="1">
      <c r="A122" s="698" t="s">
        <v>480</v>
      </c>
      <c r="B122" s="1192" t="s">
        <v>482</v>
      </c>
      <c r="C122" s="1193"/>
      <c r="D122" s="1193"/>
      <c r="E122" s="1193"/>
      <c r="F122" s="1194"/>
      <c r="G122" s="699"/>
      <c r="H122" s="700">
        <v>108293</v>
      </c>
      <c r="I122" s="697" t="e">
        <f>'UNIDADES ESPECIAIS'!#REF!</f>
        <v>#REF!</v>
      </c>
      <c r="J122" s="697" t="e">
        <f>'UNIDADES ESPECIAIS'!#REF!</f>
        <v>#REF!</v>
      </c>
      <c r="K122" s="697" t="e">
        <f t="shared" si="2"/>
        <v>#REF!</v>
      </c>
    </row>
    <row r="123" spans="1:11" s="548" customFormat="1" ht="49.5" customHeight="1">
      <c r="A123" s="698" t="s">
        <v>533</v>
      </c>
      <c r="B123" s="1192" t="s">
        <v>1255</v>
      </c>
      <c r="C123" s="1193"/>
      <c r="D123" s="1193"/>
      <c r="E123" s="1193"/>
      <c r="F123" s="1194"/>
      <c r="G123" s="699"/>
      <c r="H123" s="700">
        <v>138150</v>
      </c>
      <c r="I123" s="697" t="e">
        <f>'UNIDADES ESPECIAIS'!#REF!</f>
        <v>#REF!</v>
      </c>
      <c r="J123" s="697" t="e">
        <f>'UNIDADES ESPECIAIS'!#REF!</f>
        <v>#REF!</v>
      </c>
      <c r="K123" s="697" t="e">
        <f t="shared" si="2"/>
        <v>#REF!</v>
      </c>
    </row>
    <row r="124" spans="1:11" s="571" customFormat="1" ht="57" customHeight="1">
      <c r="A124" s="702"/>
      <c r="B124" s="1195" t="s">
        <v>1258</v>
      </c>
      <c r="C124" s="1196"/>
      <c r="D124" s="1196"/>
      <c r="E124" s="1196"/>
      <c r="F124" s="1197"/>
      <c r="G124" s="703">
        <v>8100</v>
      </c>
      <c r="H124" s="704"/>
      <c r="I124" s="695" t="e">
        <f>I125+I126</f>
        <v>#REF!</v>
      </c>
      <c r="J124" s="695" t="e">
        <f>J125+J126</f>
        <v>#REF!</v>
      </c>
      <c r="K124" s="695" t="e">
        <f t="shared" si="2"/>
        <v>#REF!</v>
      </c>
    </row>
    <row r="125" spans="1:11" s="548" customFormat="1" ht="75.75" customHeight="1">
      <c r="A125" s="698" t="s">
        <v>534</v>
      </c>
      <c r="B125" s="1192" t="s">
        <v>1486</v>
      </c>
      <c r="C125" s="1193"/>
      <c r="D125" s="1193"/>
      <c r="E125" s="1193"/>
      <c r="F125" s="1194"/>
      <c r="G125" s="699"/>
      <c r="H125" s="700">
        <v>108287</v>
      </c>
      <c r="I125" s="697" t="e">
        <f>'UNIDADES ADMINISTRATIVAS '!#REF!</f>
        <v>#REF!</v>
      </c>
      <c r="J125" s="697" t="e">
        <f>'UNIDADES ADMINISTRATIVAS '!#REF!</f>
        <v>#REF!</v>
      </c>
      <c r="K125" s="697" t="e">
        <f t="shared" si="2"/>
        <v>#REF!</v>
      </c>
    </row>
    <row r="126" spans="1:11" s="548" customFormat="1" ht="49.5" customHeight="1">
      <c r="A126" s="698" t="s">
        <v>1323</v>
      </c>
      <c r="B126" s="1192" t="s">
        <v>1324</v>
      </c>
      <c r="C126" s="1193"/>
      <c r="D126" s="1193"/>
      <c r="E126" s="1193"/>
      <c r="F126" s="1194"/>
      <c r="G126" s="699"/>
      <c r="H126" s="700">
        <v>108287</v>
      </c>
      <c r="I126" s="697" t="e">
        <f>'UNIDADES ADMINISTRATIVAS '!#REF!</f>
        <v>#REF!</v>
      </c>
      <c r="J126" s="697" t="e">
        <f>'UNIDADES ADMINISTRATIVAS '!#REF!</f>
        <v>#REF!</v>
      </c>
      <c r="K126" s="697" t="e">
        <f t="shared" si="2"/>
        <v>#REF!</v>
      </c>
    </row>
    <row r="127" spans="1:11" s="571" customFormat="1" ht="55.5" customHeight="1">
      <c r="A127" s="702"/>
      <c r="B127" s="1195" t="s">
        <v>1259</v>
      </c>
      <c r="C127" s="1196"/>
      <c r="D127" s="1196"/>
      <c r="E127" s="1196"/>
      <c r="F127" s="1197"/>
      <c r="G127" s="703">
        <v>8100</v>
      </c>
      <c r="H127" s="704"/>
      <c r="I127" s="695" t="e">
        <f>SUM(I128:I136)</f>
        <v>#REF!</v>
      </c>
      <c r="J127" s="695" t="e">
        <f>SUM(J128:J136)</f>
        <v>#REF!</v>
      </c>
      <c r="K127" s="695" t="e">
        <f t="shared" si="2"/>
        <v>#REF!</v>
      </c>
    </row>
    <row r="128" spans="1:11" s="548" customFormat="1" ht="49.5" customHeight="1">
      <c r="A128" s="698" t="s">
        <v>188</v>
      </c>
      <c r="B128" s="1192" t="s">
        <v>192</v>
      </c>
      <c r="C128" s="1193"/>
      <c r="D128" s="1193"/>
      <c r="E128" s="1193"/>
      <c r="F128" s="1194"/>
      <c r="G128" s="699"/>
      <c r="H128" s="700">
        <v>108288</v>
      </c>
      <c r="I128" s="697" t="e">
        <f>'UNIDADES ADMINISTRATIVAS '!#REF!</f>
        <v>#REF!</v>
      </c>
      <c r="J128" s="697" t="e">
        <f>'UNIDADES ADMINISTRATIVAS '!#REF!</f>
        <v>#REF!</v>
      </c>
      <c r="K128" s="697" t="e">
        <f t="shared" si="2"/>
        <v>#REF!</v>
      </c>
    </row>
    <row r="129" spans="1:11" s="548" customFormat="1" ht="49.5" customHeight="1">
      <c r="A129" s="698" t="s">
        <v>202</v>
      </c>
      <c r="B129" s="1192" t="s">
        <v>189</v>
      </c>
      <c r="C129" s="1193"/>
      <c r="D129" s="1193"/>
      <c r="E129" s="1193"/>
      <c r="F129" s="1194"/>
      <c r="G129" s="699"/>
      <c r="H129" s="700">
        <v>108288</v>
      </c>
      <c r="I129" s="697" t="e">
        <f>'UNIDADES ESPECIAIS'!#REF!+'UNIDADES ADMINISTRATIVAS '!#REF!</f>
        <v>#REF!</v>
      </c>
      <c r="J129" s="697" t="e">
        <f>'UNIDADES ESPECIAIS'!#REF!+'UNIDADES ADMINISTRATIVAS '!#REF!</f>
        <v>#REF!</v>
      </c>
      <c r="K129" s="697" t="e">
        <f t="shared" ref="K129:K149" si="3">I129+J129</f>
        <v>#REF!</v>
      </c>
    </row>
    <row r="130" spans="1:11" s="548" customFormat="1" ht="49.5" customHeight="1">
      <c r="A130" s="698" t="s">
        <v>2204</v>
      </c>
      <c r="B130" s="1201" t="s">
        <v>2205</v>
      </c>
      <c r="C130" s="1202"/>
      <c r="D130" s="1202"/>
      <c r="E130" s="1202"/>
      <c r="F130" s="1203"/>
      <c r="G130" s="699"/>
      <c r="H130" s="700">
        <v>108288</v>
      </c>
      <c r="I130" s="697" t="e">
        <f>'UNIDADES ESPECIAIS'!#REF!</f>
        <v>#REF!</v>
      </c>
      <c r="J130" s="697" t="e">
        <f>'UNIDADES ESPECIAIS'!#REF!</f>
        <v>#REF!</v>
      </c>
      <c r="K130" s="697" t="e">
        <f t="shared" si="3"/>
        <v>#REF!</v>
      </c>
    </row>
    <row r="131" spans="1:11" s="548" customFormat="1" ht="49.5" customHeight="1">
      <c r="A131" s="698" t="s">
        <v>208</v>
      </c>
      <c r="B131" s="1192" t="s">
        <v>131</v>
      </c>
      <c r="C131" s="1193"/>
      <c r="D131" s="1193"/>
      <c r="E131" s="1193"/>
      <c r="F131" s="1194"/>
      <c r="G131" s="699"/>
      <c r="H131" s="700">
        <v>108288</v>
      </c>
      <c r="I131" s="697" t="e">
        <f>'UNIDADES ADMINISTRATIVAS '!#REF!</f>
        <v>#REF!</v>
      </c>
      <c r="J131" s="697" t="e">
        <f>'UNIDADES ADMINISTRATIVAS '!#REF!</f>
        <v>#REF!</v>
      </c>
      <c r="K131" s="697" t="e">
        <f t="shared" si="3"/>
        <v>#REF!</v>
      </c>
    </row>
    <row r="132" spans="1:11" s="548" customFormat="1" ht="49.5" customHeight="1">
      <c r="A132" s="698" t="s">
        <v>1</v>
      </c>
      <c r="B132" s="1192" t="s">
        <v>346</v>
      </c>
      <c r="C132" s="1193"/>
      <c r="D132" s="1193"/>
      <c r="E132" s="1193"/>
      <c r="F132" s="1194"/>
      <c r="G132" s="699"/>
      <c r="H132" s="700">
        <v>108288</v>
      </c>
      <c r="I132" s="697" t="e">
        <f>'UNIDADES ADMINISTRATIVAS '!#REF!</f>
        <v>#REF!</v>
      </c>
      <c r="J132" s="697" t="e">
        <f>'UNIDADES ADMINISTRATIVAS '!#REF!</f>
        <v>#REF!</v>
      </c>
      <c r="K132" s="697" t="e">
        <f t="shared" si="3"/>
        <v>#REF!</v>
      </c>
    </row>
    <row r="133" spans="1:11" s="548" customFormat="1" ht="49.5" customHeight="1">
      <c r="A133" s="698" t="s">
        <v>194</v>
      </c>
      <c r="B133" s="1192" t="s">
        <v>199</v>
      </c>
      <c r="C133" s="1193"/>
      <c r="D133" s="1193"/>
      <c r="E133" s="1193"/>
      <c r="F133" s="1194"/>
      <c r="G133" s="699"/>
      <c r="H133" s="700">
        <v>108288</v>
      </c>
      <c r="I133" s="697" t="e">
        <f>'UNIDADES ESPECIAIS'!#REF!+'UNIDADES ADMINISTRATIVAS '!#REF!</f>
        <v>#REF!</v>
      </c>
      <c r="J133" s="697" t="e">
        <f>'UNIDADES ESPECIAIS'!#REF!+'UNIDADES ADMINISTRATIVAS '!#REF!</f>
        <v>#REF!</v>
      </c>
      <c r="K133" s="697" t="e">
        <f t="shared" si="3"/>
        <v>#REF!</v>
      </c>
    </row>
    <row r="134" spans="1:11" s="548" customFormat="1" ht="49.5" customHeight="1">
      <c r="A134" s="698" t="s">
        <v>244</v>
      </c>
      <c r="B134" s="1192" t="s">
        <v>266</v>
      </c>
      <c r="C134" s="1193"/>
      <c r="D134" s="1193"/>
      <c r="E134" s="1193"/>
      <c r="F134" s="1194"/>
      <c r="G134" s="699"/>
      <c r="H134" s="700">
        <v>108288</v>
      </c>
      <c r="I134" s="697" t="e">
        <f>'UNIDADES ESPECIAIS'!#REF!+'UNIDADES ADMINISTRATIVAS '!#REF!</f>
        <v>#REF!</v>
      </c>
      <c r="J134" s="697" t="e">
        <f>'UNIDADES ESPECIAIS'!#REF!+'UNIDADES ADMINISTRATIVAS '!#REF!</f>
        <v>#REF!</v>
      </c>
      <c r="K134" s="697" t="e">
        <f t="shared" si="3"/>
        <v>#REF!</v>
      </c>
    </row>
    <row r="135" spans="1:11" s="548" customFormat="1" ht="49.5" customHeight="1">
      <c r="A135" s="698" t="s">
        <v>9</v>
      </c>
      <c r="B135" s="1192" t="s">
        <v>270</v>
      </c>
      <c r="C135" s="1193"/>
      <c r="D135" s="1193"/>
      <c r="E135" s="1193"/>
      <c r="F135" s="1194"/>
      <c r="G135" s="699"/>
      <c r="H135" s="700">
        <v>108288</v>
      </c>
      <c r="I135" s="697" t="e">
        <f>'UNIDADES ADMINISTRATIVAS '!#REF!</f>
        <v>#REF!</v>
      </c>
      <c r="J135" s="697" t="e">
        <f>'UNIDADES ADMINISTRATIVAS '!#REF!</f>
        <v>#REF!</v>
      </c>
      <c r="K135" s="697" t="e">
        <f t="shared" si="3"/>
        <v>#REF!</v>
      </c>
    </row>
    <row r="136" spans="1:11" s="548" customFormat="1" ht="51.75" customHeight="1">
      <c r="A136" s="698" t="s">
        <v>417</v>
      </c>
      <c r="B136" s="1198" t="s">
        <v>420</v>
      </c>
      <c r="C136" s="1199"/>
      <c r="D136" s="1199"/>
      <c r="E136" s="1199"/>
      <c r="F136" s="1200"/>
      <c r="G136" s="699"/>
      <c r="H136" s="700">
        <v>138154</v>
      </c>
      <c r="I136" s="697" t="e">
        <f>'UNIDADES ESPECIAIS'!#REF!</f>
        <v>#REF!</v>
      </c>
      <c r="J136" s="697" t="e">
        <f>'UNIDADES ESPECIAIS'!#REF!</f>
        <v>#REF!</v>
      </c>
      <c r="K136" s="697" t="e">
        <f t="shared" si="3"/>
        <v>#REF!</v>
      </c>
    </row>
    <row r="137" spans="1:11" s="571" customFormat="1" ht="55.5" customHeight="1">
      <c r="A137" s="702"/>
      <c r="B137" s="1195" t="s">
        <v>790</v>
      </c>
      <c r="C137" s="1196"/>
      <c r="D137" s="1196"/>
      <c r="E137" s="1196"/>
      <c r="F137" s="1197"/>
      <c r="G137" s="705" t="s">
        <v>1321</v>
      </c>
      <c r="H137" s="704"/>
      <c r="I137" s="695" t="e">
        <f>SUM(I138:I139)</f>
        <v>#REF!</v>
      </c>
      <c r="J137" s="695" t="e">
        <f>SUM(J138:J139)</f>
        <v>#REF!</v>
      </c>
      <c r="K137" s="695" t="e">
        <f>I137+J137</f>
        <v>#REF!</v>
      </c>
    </row>
    <row r="138" spans="1:11" s="548" customFormat="1" ht="49.5" customHeight="1">
      <c r="A138" s="698" t="s">
        <v>340</v>
      </c>
      <c r="B138" s="1192" t="s">
        <v>156</v>
      </c>
      <c r="C138" s="1193"/>
      <c r="D138" s="1193"/>
      <c r="E138" s="1193"/>
      <c r="F138" s="1194"/>
      <c r="G138" s="699"/>
      <c r="H138" s="700">
        <v>108289</v>
      </c>
      <c r="I138" s="697" t="e">
        <f>'UNIDADES ADMINISTRATIVAS '!#REF!</f>
        <v>#REF!</v>
      </c>
      <c r="J138" s="697" t="e">
        <f>'UNIDADES ADMINISTRATIVAS '!#REF!</f>
        <v>#REF!</v>
      </c>
      <c r="K138" s="697" t="e">
        <f t="shared" si="3"/>
        <v>#REF!</v>
      </c>
    </row>
    <row r="139" spans="1:11" s="548" customFormat="1" ht="49.5" customHeight="1">
      <c r="A139" s="698" t="s">
        <v>721</v>
      </c>
      <c r="B139" s="1192" t="s">
        <v>727</v>
      </c>
      <c r="C139" s="1193"/>
      <c r="D139" s="1193"/>
      <c r="E139" s="1193"/>
      <c r="F139" s="1194"/>
      <c r="G139" s="699"/>
      <c r="H139" s="700">
        <v>108298</v>
      </c>
      <c r="I139" s="697" t="e">
        <f>'UNIDADES ADMINISTRATIVAS '!#REF!</f>
        <v>#REF!</v>
      </c>
      <c r="J139" s="697" t="e">
        <f>'UNIDADES ADMINISTRATIVAS '!#REF!</f>
        <v>#REF!</v>
      </c>
      <c r="K139" s="697" t="e">
        <f t="shared" si="3"/>
        <v>#REF!</v>
      </c>
    </row>
    <row r="140" spans="1:11" s="571" customFormat="1" ht="57" customHeight="1">
      <c r="A140" s="702"/>
      <c r="B140" s="1195" t="s">
        <v>787</v>
      </c>
      <c r="C140" s="1196"/>
      <c r="D140" s="1196"/>
      <c r="E140" s="1196"/>
      <c r="F140" s="1197"/>
      <c r="G140" s="703">
        <v>8100</v>
      </c>
      <c r="H140" s="704"/>
      <c r="I140" s="695" t="e">
        <f>SUM(I141)</f>
        <v>#REF!</v>
      </c>
      <c r="J140" s="695" t="e">
        <f>SUM(J141)</f>
        <v>#REF!</v>
      </c>
      <c r="K140" s="695" t="e">
        <f>I140+J140</f>
        <v>#REF!</v>
      </c>
    </row>
    <row r="141" spans="1:11" s="548" customFormat="1" ht="49.5" customHeight="1">
      <c r="A141" s="698" t="s">
        <v>339</v>
      </c>
      <c r="B141" s="1192" t="s">
        <v>800</v>
      </c>
      <c r="C141" s="1193"/>
      <c r="D141" s="1193"/>
      <c r="E141" s="1193"/>
      <c r="F141" s="1194"/>
      <c r="G141" s="699"/>
      <c r="H141" s="700">
        <v>108290</v>
      </c>
      <c r="I141" s="697" t="e">
        <f>'UNIDADES ADMINISTRATIVAS '!#REF!</f>
        <v>#REF!</v>
      </c>
      <c r="J141" s="697" t="e">
        <f>'UNIDADES ADMINISTRATIVAS '!#REF!</f>
        <v>#REF!</v>
      </c>
      <c r="K141" s="697" t="e">
        <f t="shared" si="3"/>
        <v>#REF!</v>
      </c>
    </row>
    <row r="142" spans="1:11" s="571" customFormat="1" ht="69" customHeight="1">
      <c r="A142" s="702"/>
      <c r="B142" s="1195" t="s">
        <v>419</v>
      </c>
      <c r="C142" s="1196"/>
      <c r="D142" s="1196"/>
      <c r="E142" s="1196"/>
      <c r="F142" s="1197"/>
      <c r="G142" s="703">
        <v>8100</v>
      </c>
      <c r="H142" s="704"/>
      <c r="I142" s="695" t="e">
        <f t="shared" ref="I142:J144" si="4">SUM(I143)</f>
        <v>#REF!</v>
      </c>
      <c r="J142" s="695" t="e">
        <f t="shared" si="4"/>
        <v>#REF!</v>
      </c>
      <c r="K142" s="695" t="e">
        <f>I142+J142</f>
        <v>#REF!</v>
      </c>
    </row>
    <row r="143" spans="1:11" s="548" customFormat="1" ht="49.5" customHeight="1">
      <c r="A143" s="698" t="s">
        <v>193</v>
      </c>
      <c r="B143" s="1192" t="s">
        <v>198</v>
      </c>
      <c r="C143" s="1193"/>
      <c r="D143" s="1193"/>
      <c r="E143" s="1193"/>
      <c r="F143" s="1194"/>
      <c r="G143" s="699"/>
      <c r="H143" s="700">
        <v>87093</v>
      </c>
      <c r="I143" s="697" t="e">
        <f>'UNIDADES ESPECIAIS'!#REF!+'UNIDADES ADMINISTRATIVAS '!#REF!</f>
        <v>#REF!</v>
      </c>
      <c r="J143" s="697" t="e">
        <f>'UNIDADES ESPECIAIS'!#REF!+'UNIDADES ADMINISTRATIVAS '!#REF!</f>
        <v>#REF!</v>
      </c>
      <c r="K143" s="697" t="e">
        <f t="shared" si="3"/>
        <v>#REF!</v>
      </c>
    </row>
    <row r="144" spans="1:11" s="571" customFormat="1" ht="57" customHeight="1">
      <c r="A144" s="702"/>
      <c r="B144" s="1195" t="s">
        <v>828</v>
      </c>
      <c r="C144" s="1196"/>
      <c r="D144" s="1196"/>
      <c r="E144" s="1196"/>
      <c r="F144" s="1197"/>
      <c r="G144" s="703">
        <v>8100</v>
      </c>
      <c r="H144" s="704"/>
      <c r="I144" s="695" t="e">
        <f t="shared" si="4"/>
        <v>#REF!</v>
      </c>
      <c r="J144" s="695" t="e">
        <f t="shared" si="4"/>
        <v>#REF!</v>
      </c>
      <c r="K144" s="695" t="e">
        <f>I144+J144</f>
        <v>#REF!</v>
      </c>
    </row>
    <row r="145" spans="1:11" s="548" customFormat="1" ht="49.5" customHeight="1">
      <c r="A145" s="698" t="s">
        <v>832</v>
      </c>
      <c r="B145" s="1192" t="s">
        <v>829</v>
      </c>
      <c r="C145" s="1193"/>
      <c r="D145" s="1193"/>
      <c r="E145" s="1193"/>
      <c r="F145" s="1194"/>
      <c r="G145" s="699"/>
      <c r="H145" s="700">
        <v>111701</v>
      </c>
      <c r="I145" s="697" t="e">
        <f>'UNIDADES ADMINISTRATIVAS '!#REF!</f>
        <v>#REF!</v>
      </c>
      <c r="J145" s="697" t="e">
        <f>'UNIDADES ADMINISTRATIVAS '!#REF!</f>
        <v>#REF!</v>
      </c>
      <c r="K145" s="697" t="e">
        <f t="shared" si="3"/>
        <v>#REF!</v>
      </c>
    </row>
    <row r="146" spans="1:11" s="571" customFormat="1" ht="74.25" customHeight="1">
      <c r="A146" s="702"/>
      <c r="B146" s="1195" t="s">
        <v>907</v>
      </c>
      <c r="C146" s="1196"/>
      <c r="D146" s="1196"/>
      <c r="E146" s="1196"/>
      <c r="F146" s="1197"/>
      <c r="G146" s="703">
        <v>8100</v>
      </c>
      <c r="H146" s="704"/>
      <c r="I146" s="695" t="e">
        <f t="shared" ref="I146:J148" si="5">SUM(I147)</f>
        <v>#REF!</v>
      </c>
      <c r="J146" s="695" t="e">
        <f t="shared" si="5"/>
        <v>#REF!</v>
      </c>
      <c r="K146" s="695" t="e">
        <f>I146+J146</f>
        <v>#REF!</v>
      </c>
    </row>
    <row r="147" spans="1:11" s="548" customFormat="1" ht="49.5" customHeight="1">
      <c r="A147" s="698" t="s">
        <v>715</v>
      </c>
      <c r="B147" s="1192" t="s">
        <v>716</v>
      </c>
      <c r="C147" s="1193"/>
      <c r="D147" s="1193"/>
      <c r="E147" s="1193"/>
      <c r="F147" s="1194"/>
      <c r="G147" s="699"/>
      <c r="H147" s="700">
        <v>149343</v>
      </c>
      <c r="I147" s="697" t="e">
        <f>'UNIDADES ADMINISTRATIVAS '!#REF!</f>
        <v>#REF!</v>
      </c>
      <c r="J147" s="697" t="e">
        <f>'UNIDADES ADMINISTRATIVAS '!#REF!</f>
        <v>#REF!</v>
      </c>
      <c r="K147" s="697" t="e">
        <f t="shared" si="3"/>
        <v>#REF!</v>
      </c>
    </row>
    <row r="148" spans="1:11" s="571" customFormat="1" ht="57" customHeight="1">
      <c r="A148" s="702"/>
      <c r="B148" s="1195" t="s">
        <v>430</v>
      </c>
      <c r="C148" s="1196"/>
      <c r="D148" s="1196"/>
      <c r="E148" s="1196"/>
      <c r="F148" s="1197"/>
      <c r="G148" s="703">
        <v>8100</v>
      </c>
      <c r="H148" s="704"/>
      <c r="I148" s="695" t="e">
        <f t="shared" si="5"/>
        <v>#REF!</v>
      </c>
      <c r="J148" s="695" t="e">
        <f t="shared" si="5"/>
        <v>#REF!</v>
      </c>
      <c r="K148" s="695" t="e">
        <f>I148+J148</f>
        <v>#REF!</v>
      </c>
    </row>
    <row r="149" spans="1:11" s="548" customFormat="1" ht="51.75" customHeight="1">
      <c r="A149" s="698" t="s">
        <v>953</v>
      </c>
      <c r="B149" s="1192" t="s">
        <v>1219</v>
      </c>
      <c r="C149" s="1193"/>
      <c r="D149" s="1193"/>
      <c r="E149" s="1193"/>
      <c r="F149" s="1194"/>
      <c r="G149" s="699"/>
      <c r="H149" s="700">
        <v>138152</v>
      </c>
      <c r="I149" s="697" t="e">
        <f>'UNIDADES ADMINISTRATIVAS '!#REF!</f>
        <v>#REF!</v>
      </c>
      <c r="J149" s="697" t="e">
        <f>'UNIDADES ADMINISTRATIVAS '!#REF!</f>
        <v>#REF!</v>
      </c>
      <c r="K149" s="697" t="e">
        <f t="shared" si="3"/>
        <v>#REF!</v>
      </c>
    </row>
    <row r="150" spans="1:11" s="17" customFormat="1" ht="24.95" customHeight="1">
      <c r="A150" s="328"/>
      <c r="B150" s="217"/>
      <c r="C150" s="217"/>
      <c r="D150" s="217"/>
      <c r="E150" s="217"/>
      <c r="F150" s="217"/>
      <c r="G150" s="218"/>
      <c r="H150" s="218"/>
      <c r="I150" s="370"/>
      <c r="J150" s="370"/>
      <c r="K150" s="371"/>
    </row>
    <row r="151" spans="1:11" s="472" customFormat="1" ht="56.25" customHeight="1">
      <c r="A151" s="1017" t="s">
        <v>200</v>
      </c>
      <c r="B151" s="1018"/>
      <c r="C151" s="1018"/>
      <c r="D151" s="1018"/>
      <c r="E151" s="1018"/>
      <c r="F151" s="1018"/>
      <c r="G151" s="1018"/>
      <c r="H151" s="1149"/>
      <c r="I151" s="682" t="e">
        <f>I117+I119+I121+I124+I127+I137+I140+I142+I144+I146+I148</f>
        <v>#REF!</v>
      </c>
      <c r="J151" s="682" t="e">
        <f>J117+J119+J121+J124+J127+J137+J140+J142+J144+J146+J148</f>
        <v>#REF!</v>
      </c>
      <c r="K151" s="682" t="e">
        <f>I151+J151</f>
        <v>#REF!</v>
      </c>
    </row>
    <row r="152" spans="1:11" s="17" customFormat="1" ht="39.950000000000003" customHeight="1">
      <c r="A152" s="25"/>
      <c r="B152" s="432"/>
      <c r="C152" s="432"/>
      <c r="D152" s="432"/>
      <c r="E152" s="432"/>
      <c r="F152" s="432"/>
      <c r="G152" s="432"/>
      <c r="H152" s="432"/>
      <c r="I152" s="433"/>
      <c r="J152" s="433"/>
      <c r="K152" s="433"/>
    </row>
    <row r="153" spans="1:11" ht="15" customHeight="1">
      <c r="A153" s="195"/>
      <c r="B153" s="195"/>
      <c r="C153" s="195"/>
      <c r="D153" s="195"/>
      <c r="E153" s="195"/>
      <c r="F153" s="195"/>
      <c r="G153" s="195"/>
      <c r="H153" s="195"/>
      <c r="I153" s="195"/>
      <c r="J153" s="195"/>
      <c r="K153" s="195"/>
    </row>
    <row r="154" spans="1:11" s="17" customFormat="1" ht="19.5" customHeight="1">
      <c r="A154" s="772"/>
      <c r="B154" s="772"/>
      <c r="C154" s="772"/>
      <c r="D154" s="772"/>
      <c r="E154" s="772"/>
      <c r="F154" s="772"/>
      <c r="G154" s="66"/>
      <c r="H154" s="66"/>
      <c r="I154" s="66"/>
      <c r="J154" s="66"/>
      <c r="K154" s="66"/>
    </row>
  </sheetData>
  <mergeCells count="132">
    <mergeCell ref="B146:F146"/>
    <mergeCell ref="B147:F147"/>
    <mergeCell ref="B148:F148"/>
    <mergeCell ref="B149:F149"/>
    <mergeCell ref="A151:H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K115:K116"/>
    <mergeCell ref="B117:F117"/>
    <mergeCell ref="B118:F118"/>
    <mergeCell ref="B119:F119"/>
    <mergeCell ref="B120:F120"/>
    <mergeCell ref="B121:F121"/>
    <mergeCell ref="A106:K106"/>
    <mergeCell ref="A107:K107"/>
    <mergeCell ref="A109:K109"/>
    <mergeCell ref="A113:K113"/>
    <mergeCell ref="A114:K114"/>
    <mergeCell ref="A115:A116"/>
    <mergeCell ref="B115:B116"/>
    <mergeCell ref="G115:G116"/>
    <mergeCell ref="H115:H116"/>
    <mergeCell ref="I115:J115"/>
    <mergeCell ref="G99:G101"/>
    <mergeCell ref="H99:H101"/>
    <mergeCell ref="A100:B100"/>
    <mergeCell ref="A101:B101"/>
    <mergeCell ref="A104:H104"/>
    <mergeCell ref="A105:K105"/>
    <mergeCell ref="A95:B95"/>
    <mergeCell ref="A96:B96"/>
    <mergeCell ref="A97:B97"/>
    <mergeCell ref="A99:B99"/>
    <mergeCell ref="C99:C101"/>
    <mergeCell ref="D99:D101"/>
    <mergeCell ref="A86:K86"/>
    <mergeCell ref="A87:B87"/>
    <mergeCell ref="A88:C88"/>
    <mergeCell ref="D88:F88"/>
    <mergeCell ref="A89:B89"/>
    <mergeCell ref="A91:B91"/>
    <mergeCell ref="C91:C94"/>
    <mergeCell ref="A92:B92"/>
    <mergeCell ref="A93:B93"/>
    <mergeCell ref="A94:B94"/>
    <mergeCell ref="A77:C77"/>
    <mergeCell ref="A78:K78"/>
    <mergeCell ref="A79:K79"/>
    <mergeCell ref="A80:K80"/>
    <mergeCell ref="A82:K82"/>
    <mergeCell ref="A85:K85"/>
    <mergeCell ref="E71:E73"/>
    <mergeCell ref="A72:B72"/>
    <mergeCell ref="A73:B73"/>
    <mergeCell ref="A75:B75"/>
    <mergeCell ref="C75:C76"/>
    <mergeCell ref="A76:B76"/>
    <mergeCell ref="A66:B66"/>
    <mergeCell ref="A68:B68"/>
    <mergeCell ref="A69:B69"/>
    <mergeCell ref="A71:B71"/>
    <mergeCell ref="C71:C73"/>
    <mergeCell ref="D71:D73"/>
    <mergeCell ref="A57:K57"/>
    <mergeCell ref="A59:K59"/>
    <mergeCell ref="A62:K62"/>
    <mergeCell ref="A63:K63"/>
    <mergeCell ref="A64:B64"/>
    <mergeCell ref="A65:C65"/>
    <mergeCell ref="D65:F65"/>
    <mergeCell ref="A51:B51"/>
    <mergeCell ref="A52:C52"/>
    <mergeCell ref="A53:B53"/>
    <mergeCell ref="A54:C54"/>
    <mergeCell ref="A55:K55"/>
    <mergeCell ref="A56:K56"/>
    <mergeCell ref="A44:B45"/>
    <mergeCell ref="C44:C45"/>
    <mergeCell ref="A46:B47"/>
    <mergeCell ref="C46:C47"/>
    <mergeCell ref="A49:B49"/>
    <mergeCell ref="A50:C50"/>
    <mergeCell ref="A36:K36"/>
    <mergeCell ref="A37:K37"/>
    <mergeCell ref="A38:B38"/>
    <mergeCell ref="A41:C41"/>
    <mergeCell ref="D41:F41"/>
    <mergeCell ref="A42:B43"/>
    <mergeCell ref="C42:C43"/>
    <mergeCell ref="G42:G43"/>
    <mergeCell ref="H42:H43"/>
    <mergeCell ref="A30:K30"/>
    <mergeCell ref="A31:K31"/>
    <mergeCell ref="A33:K33"/>
    <mergeCell ref="A10:B10"/>
    <mergeCell ref="A13:B13"/>
    <mergeCell ref="A14:B14"/>
    <mergeCell ref="A15:B16"/>
    <mergeCell ref="C15:C16"/>
    <mergeCell ref="A17:B26"/>
    <mergeCell ref="C17:C26"/>
    <mergeCell ref="A1:K1"/>
    <mergeCell ref="A2:K2"/>
    <mergeCell ref="A3:K3"/>
    <mergeCell ref="A5:K5"/>
    <mergeCell ref="A8:K8"/>
    <mergeCell ref="A9:K9"/>
    <mergeCell ref="A27:C27"/>
    <mergeCell ref="D27:F27"/>
    <mergeCell ref="A29:K2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20" firstPageNumber="8" orientation="landscape" useFirstPageNumber="1" verticalDpi="300" r:id="rId1"/>
  <headerFooter alignWithMargins="0">
    <oddHeader>&amp;L&amp;G</oddHeader>
    <oddFooter>&amp;R&amp;"+,Regular"&amp;48&amp;P</oddFooter>
  </headerFooter>
  <rowBreaks count="4" manualBreakCount="4">
    <brk id="28" max="10" man="1"/>
    <brk id="54" max="10" man="1"/>
    <brk id="77" max="10" man="1"/>
    <brk id="104" max="10" man="1"/>
  </rowBreaks>
  <legacyDrawingHF r:id="rId2"/>
  <picture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2399"/>
  <sheetViews>
    <sheetView view="pageBreakPreview" topLeftCell="B1630" zoomScale="50" zoomScaleNormal="40" zoomScaleSheetLayoutView="50" zoomScalePageLayoutView="25" workbookViewId="0">
      <selection activeCell="F1254" sqref="F1254"/>
    </sheetView>
  </sheetViews>
  <sheetFormatPr defaultRowHeight="35.1" customHeight="1"/>
  <cols>
    <col min="1" max="1" width="52" style="41" hidden="1" customWidth="1"/>
    <col min="2" max="2" width="40.42578125" style="41" customWidth="1"/>
    <col min="3" max="3" width="123.85546875" style="27" customWidth="1"/>
    <col min="4" max="4" width="22.28515625" style="27" customWidth="1"/>
    <col min="5" max="5" width="20.7109375" style="27" customWidth="1"/>
    <col min="6" max="6" width="60.28515625" style="11" customWidth="1"/>
    <col min="7" max="7" width="61.85546875" style="11" hidden="1" customWidth="1"/>
    <col min="8" max="8" width="24.85546875" style="11" hidden="1" customWidth="1"/>
    <col min="9" max="9" width="44.5703125" style="11" hidden="1" customWidth="1"/>
    <col min="10" max="10" width="47" style="11" bestFit="1" customWidth="1"/>
    <col min="11" max="11" width="56.42578125" style="11" hidden="1" customWidth="1"/>
    <col min="12" max="12" width="47.140625" style="27" hidden="1" customWidth="1"/>
    <col min="13" max="14" width="37" style="27" hidden="1" customWidth="1"/>
    <col min="15" max="15" width="45.28515625" style="28" customWidth="1"/>
    <col min="16" max="16" width="55.85546875" style="28" customWidth="1"/>
    <col min="17" max="17" width="36.28515625" style="312" customWidth="1"/>
    <col min="18" max="18" width="44.85546875" style="28" customWidth="1"/>
    <col min="19" max="19" width="49.140625" style="28" customWidth="1"/>
    <col min="20" max="20" width="31.28515625" style="29" customWidth="1"/>
    <col min="21" max="21" width="29.42578125" style="27" customWidth="1"/>
    <col min="22" max="22" width="27.42578125" style="27" customWidth="1"/>
    <col min="23" max="23" width="27.7109375" style="27" customWidth="1"/>
    <col min="24" max="25" width="45.28515625" style="27" customWidth="1"/>
    <col min="26" max="26" width="33.85546875" style="27" customWidth="1"/>
    <col min="27" max="27" width="32.42578125" style="27" customWidth="1"/>
    <col min="28" max="28" width="28.140625" style="27" customWidth="1"/>
    <col min="29" max="29" width="41" style="27" customWidth="1"/>
    <col min="30" max="30" width="32.42578125" style="27" customWidth="1"/>
    <col min="31" max="31" width="33.42578125" style="27" customWidth="1"/>
    <col min="32" max="32" width="33.85546875" style="27" customWidth="1"/>
    <col min="33" max="34" width="9.140625" style="27"/>
    <col min="35" max="35" width="46.7109375" style="27" customWidth="1"/>
    <col min="36" max="36" width="48.140625" style="27" customWidth="1"/>
    <col min="37" max="16384" width="9.140625" style="27"/>
  </cols>
  <sheetData>
    <row r="1" spans="1:32" ht="20.100000000000001" customHeight="1"/>
    <row r="2" spans="1:32" ht="20.100000000000001" customHeight="1"/>
    <row r="3" spans="1:32" ht="20.100000000000001" customHeight="1"/>
    <row r="4" spans="1:32" ht="17.100000000000001" customHeight="1" thickBot="1"/>
    <row r="5" spans="1:32" ht="30.75" customHeight="1">
      <c r="C5" s="1204" t="s">
        <v>51</v>
      </c>
      <c r="D5" s="1204"/>
      <c r="E5" s="1204"/>
      <c r="F5" s="1204"/>
      <c r="H5" s="1205"/>
      <c r="I5" s="1206"/>
      <c r="J5" s="1206"/>
      <c r="K5" s="1207"/>
      <c r="L5" s="343"/>
      <c r="M5" s="343"/>
      <c r="N5" s="343"/>
    </row>
    <row r="6" spans="1:32" ht="28.5" customHeight="1">
      <c r="C6" s="1204" t="s">
        <v>52</v>
      </c>
      <c r="D6" s="1204"/>
      <c r="E6" s="1204"/>
      <c r="F6" s="1204"/>
      <c r="H6" s="1208"/>
      <c r="I6" s="1209"/>
      <c r="J6" s="1209"/>
      <c r="K6" s="1210"/>
      <c r="L6" s="345"/>
      <c r="M6" s="343"/>
      <c r="N6" s="343"/>
      <c r="P6" s="42"/>
      <c r="Q6" s="617"/>
      <c r="R6" s="42"/>
    </row>
    <row r="7" spans="1:32" ht="30" customHeight="1">
      <c r="C7" s="1204" t="s">
        <v>50</v>
      </c>
      <c r="D7" s="1204"/>
      <c r="E7" s="1204"/>
      <c r="F7" s="1204"/>
      <c r="H7" s="1211"/>
      <c r="I7" s="1212"/>
      <c r="J7" s="1212"/>
      <c r="K7" s="1213"/>
      <c r="L7" s="343"/>
      <c r="M7" s="343"/>
      <c r="N7" s="343"/>
      <c r="O7" s="42"/>
    </row>
    <row r="8" spans="1:32" ht="31.5" customHeight="1">
      <c r="F8" s="43"/>
      <c r="G8" s="44"/>
      <c r="H8" s="1214"/>
      <c r="I8" s="1215"/>
      <c r="J8" s="1215"/>
      <c r="K8" s="477"/>
      <c r="L8" s="345"/>
      <c r="M8" s="345"/>
      <c r="N8" s="345"/>
      <c r="O8" s="319"/>
      <c r="P8" s="319"/>
      <c r="Q8" s="618"/>
      <c r="R8" s="45"/>
    </row>
    <row r="9" spans="1:32" ht="17.100000000000001" customHeight="1">
      <c r="F9" s="43"/>
      <c r="G9" s="44"/>
      <c r="H9" s="20"/>
      <c r="I9" s="20"/>
      <c r="J9" s="20"/>
      <c r="K9" s="20"/>
      <c r="L9" s="20"/>
      <c r="M9" s="20"/>
      <c r="N9" s="19"/>
    </row>
    <row r="10" spans="1:32" ht="21.95" customHeight="1">
      <c r="F10" s="43"/>
      <c r="G10" s="44"/>
      <c r="H10" s="46"/>
      <c r="I10" s="46"/>
      <c r="J10" s="46"/>
      <c r="K10" s="46"/>
      <c r="L10" s="46"/>
      <c r="M10" s="46"/>
      <c r="N10" s="367"/>
      <c r="O10" s="47"/>
      <c r="P10" s="47"/>
      <c r="Q10" s="619"/>
    </row>
    <row r="11" spans="1:32" ht="21.95" customHeight="1">
      <c r="F11" s="43"/>
      <c r="G11" s="48"/>
      <c r="H11" s="20"/>
      <c r="I11" s="20"/>
      <c r="J11" s="20"/>
      <c r="K11" s="463"/>
      <c r="L11" s="26"/>
      <c r="M11" s="20"/>
      <c r="N11" s="19"/>
    </row>
    <row r="12" spans="1:32" ht="44.25" customHeight="1">
      <c r="A12" s="346" t="s">
        <v>1057</v>
      </c>
      <c r="B12" s="1226" t="s">
        <v>1335</v>
      </c>
      <c r="C12" s="1226"/>
      <c r="D12" s="1226"/>
      <c r="E12" s="1226"/>
      <c r="F12" s="1226"/>
      <c r="G12" s="1226"/>
      <c r="H12" s="1226"/>
      <c r="I12" s="1226"/>
      <c r="J12" s="1226"/>
      <c r="K12" s="1226"/>
      <c r="L12" s="346"/>
      <c r="M12" s="346"/>
      <c r="N12" s="346"/>
      <c r="O12" s="27"/>
      <c r="P12" s="27"/>
      <c r="Q12" s="620"/>
      <c r="R12" s="27"/>
      <c r="S12" s="27"/>
      <c r="T12" s="27"/>
    </row>
    <row r="13" spans="1:32" ht="20.100000000000001" customHeight="1">
      <c r="A13" s="195"/>
      <c r="B13" s="195"/>
      <c r="C13" s="195"/>
      <c r="D13" s="195"/>
      <c r="E13" s="195"/>
      <c r="F13" s="195"/>
      <c r="G13" s="195"/>
      <c r="H13" s="195"/>
      <c r="I13" s="320"/>
      <c r="J13" s="321"/>
      <c r="K13" s="369"/>
      <c r="L13" s="195"/>
      <c r="M13" s="195"/>
      <c r="N13" s="195"/>
      <c r="O13" s="47"/>
      <c r="P13" s="47"/>
      <c r="Q13" s="619"/>
    </row>
    <row r="14" spans="1:32" ht="37.5" hidden="1" customHeight="1">
      <c r="A14" s="343" t="s">
        <v>135</v>
      </c>
      <c r="B14" s="1226"/>
      <c r="C14" s="1226"/>
      <c r="D14" s="1226"/>
      <c r="E14" s="1226"/>
      <c r="F14" s="1226"/>
      <c r="G14" s="1226"/>
      <c r="H14" s="1226"/>
      <c r="I14" s="1226"/>
      <c r="J14" s="1226"/>
      <c r="K14" s="1226"/>
      <c r="L14" s="345"/>
      <c r="M14" s="343"/>
      <c r="N14" s="343"/>
      <c r="O14" s="282"/>
    </row>
    <row r="15" spans="1:32" ht="21.95" hidden="1" customHeight="1">
      <c r="A15" s="195"/>
      <c r="B15" s="195"/>
      <c r="C15" s="195"/>
      <c r="D15" s="195"/>
      <c r="E15" s="195"/>
      <c r="F15" s="195"/>
      <c r="G15" s="195"/>
      <c r="H15" s="195"/>
      <c r="I15" s="195"/>
      <c r="J15" s="321"/>
      <c r="K15" s="195"/>
      <c r="L15" s="320"/>
      <c r="M15" s="321"/>
      <c r="N15" s="195"/>
    </row>
    <row r="16" spans="1:32" ht="30" customHeight="1">
      <c r="A16" s="352"/>
      <c r="B16" s="605"/>
      <c r="C16" s="605"/>
      <c r="D16" s="605"/>
      <c r="E16" s="605"/>
      <c r="F16" s="605"/>
      <c r="G16" s="605"/>
      <c r="H16" s="605"/>
      <c r="I16" s="605"/>
      <c r="J16" s="605"/>
      <c r="K16" s="605"/>
      <c r="L16" s="401">
        <f>SUM(L18,L76)</f>
        <v>183804309</v>
      </c>
      <c r="M16" s="401">
        <f>SUM(M18,M76)</f>
        <v>15233770</v>
      </c>
      <c r="N16" s="401">
        <f>SUM(N18,N76)</f>
        <v>199034079</v>
      </c>
      <c r="O16" s="520"/>
      <c r="P16" s="520"/>
      <c r="Q16" s="621"/>
      <c r="R16" s="520" t="s">
        <v>1065</v>
      </c>
      <c r="S16" s="520"/>
      <c r="T16" s="520"/>
      <c r="U16" s="522"/>
      <c r="V16" s="522"/>
      <c r="W16" s="522"/>
      <c r="X16" s="515"/>
      <c r="Y16" s="515"/>
      <c r="Z16" s="516"/>
      <c r="AA16" s="517" t="s">
        <v>833</v>
      </c>
      <c r="AB16" s="518"/>
      <c r="AC16" s="518"/>
      <c r="AD16" s="519" t="s">
        <v>1066</v>
      </c>
      <c r="AE16" s="519"/>
      <c r="AF16" s="519"/>
    </row>
    <row r="17" spans="1:36" s="500" customFormat="1" ht="87" hidden="1" customHeight="1">
      <c r="A17" s="496" t="s">
        <v>425</v>
      </c>
      <c r="B17" s="1227" t="s">
        <v>425</v>
      </c>
      <c r="C17" s="1228"/>
      <c r="D17" s="1227" t="s">
        <v>440</v>
      </c>
      <c r="E17" s="1228"/>
      <c r="F17" s="497" t="s">
        <v>16</v>
      </c>
      <c r="G17" s="497" t="s">
        <v>178</v>
      </c>
      <c r="H17" s="497" t="s">
        <v>179</v>
      </c>
      <c r="I17" s="497" t="s">
        <v>180</v>
      </c>
      <c r="J17" s="497" t="s">
        <v>181</v>
      </c>
      <c r="K17" s="497" t="s">
        <v>200</v>
      </c>
      <c r="L17" s="496" t="s">
        <v>180</v>
      </c>
      <c r="M17" s="496" t="s">
        <v>181</v>
      </c>
      <c r="N17" s="496" t="s">
        <v>200</v>
      </c>
      <c r="O17" s="498" t="s">
        <v>180</v>
      </c>
      <c r="P17" s="498" t="s">
        <v>181</v>
      </c>
      <c r="Q17" s="622" t="s">
        <v>200</v>
      </c>
      <c r="R17" s="498" t="s">
        <v>180</v>
      </c>
      <c r="S17" s="498" t="s">
        <v>181</v>
      </c>
      <c r="T17" s="499" t="s">
        <v>200</v>
      </c>
      <c r="U17" s="500" t="s">
        <v>180</v>
      </c>
      <c r="V17" s="500" t="s">
        <v>181</v>
      </c>
      <c r="W17" s="500" t="s">
        <v>200</v>
      </c>
      <c r="AA17" s="500" t="s">
        <v>180</v>
      </c>
      <c r="AB17" s="500" t="s">
        <v>181</v>
      </c>
      <c r="AC17" s="500" t="s">
        <v>200</v>
      </c>
      <c r="AD17" s="500" t="s">
        <v>180</v>
      </c>
      <c r="AE17" s="500" t="s">
        <v>181</v>
      </c>
      <c r="AF17" s="500" t="s">
        <v>200</v>
      </c>
    </row>
    <row r="18" spans="1:36" s="510" customFormat="1" ht="50.1" hidden="1" customHeight="1">
      <c r="A18" s="501" t="s">
        <v>17</v>
      </c>
      <c r="B18" s="1229" t="s">
        <v>17</v>
      </c>
      <c r="C18" s="1230"/>
      <c r="D18" s="1231"/>
      <c r="E18" s="1232"/>
      <c r="F18" s="504"/>
      <c r="G18" s="504"/>
      <c r="H18" s="504"/>
      <c r="I18" s="545">
        <f>SUM(I19,I34,I36,I38)</f>
        <v>162904613</v>
      </c>
      <c r="J18" s="545">
        <f>SUM(J19,J34,J36,J38)</f>
        <v>11084040</v>
      </c>
      <c r="K18" s="545">
        <f>SUM(K19,K34,K36,K38)</f>
        <v>173988653</v>
      </c>
      <c r="L18" s="507">
        <f>SUM(L19,L34,L36,L38)</f>
        <v>162904613</v>
      </c>
      <c r="M18" s="507">
        <f>SUM(M19,M34,M36)</f>
        <v>11084040</v>
      </c>
      <c r="N18" s="507">
        <f>SUM(N19,N34,N36)</f>
        <v>173984653</v>
      </c>
      <c r="O18" s="508">
        <f>SUM(O19,O34,O36)</f>
        <v>158572319</v>
      </c>
      <c r="P18" s="508">
        <f>SUM(P19,P34,P36)</f>
        <v>32059298</v>
      </c>
      <c r="Q18" s="623">
        <f>SUM(Q19,Q34,Q36)</f>
        <v>190631617</v>
      </c>
      <c r="R18" s="508">
        <f>O18-L18</f>
        <v>-4332294</v>
      </c>
      <c r="S18" s="508">
        <f>P18-M18</f>
        <v>20975258</v>
      </c>
      <c r="T18" s="509">
        <f>Q18-N18</f>
        <v>16646964</v>
      </c>
      <c r="U18" s="510">
        <f t="shared" ref="U18:W35" si="0">30%*L18</f>
        <v>48871383.899999999</v>
      </c>
      <c r="V18" s="510">
        <f t="shared" si="0"/>
        <v>3325212</v>
      </c>
      <c r="W18" s="510">
        <f t="shared" si="0"/>
        <v>52195395.899999999</v>
      </c>
      <c r="X18" s="510" t="e">
        <f>SUM(#REF!)</f>
        <v>#REF!</v>
      </c>
      <c r="Y18" s="510" t="e">
        <f>SUM(#REF!)</f>
        <v>#REF!</v>
      </c>
      <c r="Z18" s="510" t="e">
        <f t="shared" ref="Z18:Z27" si="1">SUM(X18,Y18)</f>
        <v>#REF!</v>
      </c>
      <c r="AA18" s="510">
        <f t="shared" ref="AA18:AF18" si="2">SUM(AA19,AA34,AA36)</f>
        <v>192234536</v>
      </c>
      <c r="AB18" s="510">
        <f t="shared" si="2"/>
        <v>95182666</v>
      </c>
      <c r="AC18" s="510">
        <f t="shared" si="2"/>
        <v>287417202</v>
      </c>
      <c r="AD18" s="510">
        <f t="shared" si="2"/>
        <v>-32967194</v>
      </c>
      <c r="AE18" s="510">
        <f t="shared" si="2"/>
        <v>-84598626</v>
      </c>
      <c r="AF18" s="510">
        <f t="shared" si="2"/>
        <v>-117565820</v>
      </c>
      <c r="AI18" s="510">
        <v>-15092781</v>
      </c>
      <c r="AJ18" s="510">
        <f>AI18-AF18</f>
        <v>102473039</v>
      </c>
    </row>
    <row r="19" spans="1:36" s="544" customFormat="1" ht="46.5" hidden="1" customHeight="1">
      <c r="A19" s="538" t="s">
        <v>424</v>
      </c>
      <c r="B19" s="539" t="s">
        <v>708</v>
      </c>
      <c r="C19" s="539"/>
      <c r="D19" s="1216"/>
      <c r="E19" s="1217"/>
      <c r="F19" s="540"/>
      <c r="G19" s="541"/>
      <c r="H19" s="541"/>
      <c r="I19" s="542">
        <f>SUM(I20:I33)</f>
        <v>161573256</v>
      </c>
      <c r="J19" s="542">
        <f t="shared" ref="J19:T19" si="3">SUM(J20:J33)</f>
        <v>11084040</v>
      </c>
      <c r="K19" s="542">
        <f t="shared" si="3"/>
        <v>172657296</v>
      </c>
      <c r="L19" s="543">
        <f t="shared" si="3"/>
        <v>161573256</v>
      </c>
      <c r="M19" s="543">
        <f t="shared" si="3"/>
        <v>11084040</v>
      </c>
      <c r="N19" s="543">
        <f t="shared" si="3"/>
        <v>172657296</v>
      </c>
      <c r="O19" s="544">
        <f t="shared" si="3"/>
        <v>157149547</v>
      </c>
      <c r="P19" s="544">
        <f t="shared" si="3"/>
        <v>32059298</v>
      </c>
      <c r="Q19" s="624">
        <f t="shared" si="3"/>
        <v>189208845</v>
      </c>
      <c r="R19" s="544">
        <f t="shared" si="3"/>
        <v>-1440438</v>
      </c>
      <c r="S19" s="544">
        <f t="shared" si="3"/>
        <v>20675258</v>
      </c>
      <c r="T19" s="544">
        <f t="shared" si="3"/>
        <v>19234820</v>
      </c>
      <c r="U19" s="544">
        <f t="shared" si="0"/>
        <v>48471976.799999997</v>
      </c>
      <c r="V19" s="544">
        <f t="shared" si="0"/>
        <v>3325212</v>
      </c>
      <c r="W19" s="544">
        <f t="shared" si="0"/>
        <v>51797188.799999997</v>
      </c>
      <c r="X19" s="544">
        <f>X96</f>
        <v>0</v>
      </c>
      <c r="Y19" s="544">
        <f>Y96</f>
        <v>0</v>
      </c>
      <c r="Z19" s="544">
        <f t="shared" si="1"/>
        <v>0</v>
      </c>
      <c r="AA19" s="544">
        <f t="shared" ref="AA19:AF19" si="4">SUM(AA20:AA33)</f>
        <v>190564058</v>
      </c>
      <c r="AB19" s="544">
        <f t="shared" si="4"/>
        <v>95172666</v>
      </c>
      <c r="AC19" s="544">
        <f t="shared" si="4"/>
        <v>285736724</v>
      </c>
      <c r="AD19" s="544">
        <f t="shared" si="4"/>
        <v>-32624073</v>
      </c>
      <c r="AE19" s="544">
        <f t="shared" si="4"/>
        <v>-84588626</v>
      </c>
      <c r="AF19" s="544">
        <f t="shared" si="4"/>
        <v>-117212699</v>
      </c>
    </row>
    <row r="20" spans="1:36" ht="38.25" hidden="1" customHeight="1">
      <c r="A20" s="273" t="s">
        <v>479</v>
      </c>
      <c r="B20" s="1218" t="s">
        <v>1217</v>
      </c>
      <c r="C20" s="1219"/>
      <c r="D20" s="1220">
        <v>8100</v>
      </c>
      <c r="E20" s="1221"/>
      <c r="F20" s="524" t="s">
        <v>778</v>
      </c>
      <c r="G20" s="488" t="s">
        <v>770</v>
      </c>
      <c r="H20" s="489">
        <v>1600</v>
      </c>
      <c r="I20" s="473">
        <f>L20</f>
        <v>976063</v>
      </c>
      <c r="J20" s="473">
        <f>SUM(J96)</f>
        <v>0</v>
      </c>
      <c r="K20" s="473">
        <f>SUM(I20,J20)</f>
        <v>976063</v>
      </c>
      <c r="L20" s="167">
        <f>SUM(L96)</f>
        <v>976063</v>
      </c>
      <c r="M20" s="167">
        <f>SUM(M96)</f>
        <v>0</v>
      </c>
      <c r="N20" s="167">
        <f t="shared" ref="N20:N33" si="5">SUM(L20,M20)</f>
        <v>976063</v>
      </c>
      <c r="O20" s="405">
        <v>762866</v>
      </c>
      <c r="P20" s="405">
        <v>213197</v>
      </c>
      <c r="Q20" s="312">
        <f t="shared" ref="Q20:Q35" si="6">SUM(O20:P20)</f>
        <v>976063</v>
      </c>
      <c r="R20" s="28">
        <f t="shared" ref="R20:S22" si="7">O20-L20</f>
        <v>-213197</v>
      </c>
      <c r="S20" s="28">
        <f t="shared" si="7"/>
        <v>213197</v>
      </c>
      <c r="T20" s="29">
        <f>SUM(R20:S20)</f>
        <v>0</v>
      </c>
      <c r="U20" s="27">
        <f t="shared" si="0"/>
        <v>292818.89999999997</v>
      </c>
      <c r="V20" s="27">
        <f t="shared" si="0"/>
        <v>0</v>
      </c>
      <c r="W20" s="27">
        <f t="shared" si="0"/>
        <v>292818.89999999997</v>
      </c>
      <c r="X20" s="27">
        <f>X99</f>
        <v>0</v>
      </c>
      <c r="Z20" s="27">
        <f t="shared" si="1"/>
        <v>0</v>
      </c>
      <c r="AA20" s="27">
        <v>572597</v>
      </c>
      <c r="AB20" s="27">
        <v>340597</v>
      </c>
      <c r="AC20" s="27">
        <v>913194</v>
      </c>
      <c r="AD20" s="27">
        <f>I20-AA20</f>
        <v>403466</v>
      </c>
      <c r="AE20" s="27">
        <f>J20-AB20</f>
        <v>-340597</v>
      </c>
      <c r="AF20" s="27">
        <f>SUM(AD20:AE20)</f>
        <v>62869</v>
      </c>
    </row>
    <row r="21" spans="1:36" ht="56.25" hidden="1" customHeight="1">
      <c r="A21" s="273" t="s">
        <v>511</v>
      </c>
      <c r="B21" s="1222" t="s">
        <v>709</v>
      </c>
      <c r="C21" s="1223"/>
      <c r="D21" s="1220">
        <v>8100</v>
      </c>
      <c r="E21" s="1221"/>
      <c r="F21" s="524" t="s">
        <v>781</v>
      </c>
      <c r="G21" s="488" t="s">
        <v>770</v>
      </c>
      <c r="H21" s="489">
        <v>692</v>
      </c>
      <c r="I21" s="473">
        <f t="shared" ref="I21:I33" si="8">L21</f>
        <v>1426981</v>
      </c>
      <c r="J21" s="473">
        <f>J98</f>
        <v>0</v>
      </c>
      <c r="K21" s="473">
        <f t="shared" ref="K21:K33" si="9">SUM(I21,J21)</f>
        <v>1426981</v>
      </c>
      <c r="L21" s="167">
        <f>L98</f>
        <v>1426981</v>
      </c>
      <c r="M21" s="167">
        <f>M98</f>
        <v>0</v>
      </c>
      <c r="N21" s="167">
        <f t="shared" si="5"/>
        <v>1426981</v>
      </c>
      <c r="O21" s="405">
        <v>998075</v>
      </c>
      <c r="P21" s="405">
        <v>622975</v>
      </c>
      <c r="Q21" s="312">
        <f t="shared" si="6"/>
        <v>1621050</v>
      </c>
      <c r="R21" s="28">
        <f t="shared" si="7"/>
        <v>-428906</v>
      </c>
      <c r="S21" s="28">
        <f t="shared" si="7"/>
        <v>622975</v>
      </c>
      <c r="T21" s="29">
        <f>SUM(R21:S21)</f>
        <v>194069</v>
      </c>
      <c r="U21" s="27">
        <f t="shared" si="0"/>
        <v>428094.3</v>
      </c>
      <c r="V21" s="27">
        <f t="shared" si="0"/>
        <v>0</v>
      </c>
      <c r="W21" s="27">
        <f t="shared" si="0"/>
        <v>428094.3</v>
      </c>
      <c r="X21" s="27">
        <f>X100</f>
        <v>0</v>
      </c>
      <c r="Y21" s="27">
        <f>Y100</f>
        <v>0</v>
      </c>
      <c r="Z21" s="27">
        <f t="shared" si="1"/>
        <v>0</v>
      </c>
      <c r="AA21" s="27">
        <v>1458486</v>
      </c>
      <c r="AB21" s="27">
        <v>618000</v>
      </c>
      <c r="AC21" s="27">
        <v>2076486</v>
      </c>
      <c r="AD21" s="27">
        <f t="shared" ref="AD21:AE33" si="10">I21-AA21</f>
        <v>-31505</v>
      </c>
      <c r="AE21" s="27">
        <f t="shared" si="10"/>
        <v>-618000</v>
      </c>
      <c r="AF21" s="27">
        <f t="shared" ref="AF21:AF37" si="11">SUM(AD21:AE21)</f>
        <v>-649505</v>
      </c>
    </row>
    <row r="22" spans="1:36" ht="60.75" hidden="1" customHeight="1">
      <c r="A22" s="273" t="s">
        <v>687</v>
      </c>
      <c r="B22" s="1222" t="s">
        <v>1245</v>
      </c>
      <c r="C22" s="1223"/>
      <c r="D22" s="1224" t="s">
        <v>1321</v>
      </c>
      <c r="E22" s="1225"/>
      <c r="F22" s="524" t="s">
        <v>1246</v>
      </c>
      <c r="G22" s="488" t="s">
        <v>771</v>
      </c>
      <c r="H22" s="489">
        <v>170</v>
      </c>
      <c r="I22" s="473">
        <f t="shared" si="8"/>
        <v>498000</v>
      </c>
      <c r="J22" s="473"/>
      <c r="K22" s="473">
        <f t="shared" si="9"/>
        <v>498000</v>
      </c>
      <c r="L22" s="167">
        <f>L101+L102</f>
        <v>498000</v>
      </c>
      <c r="M22" s="167"/>
      <c r="N22" s="167">
        <f t="shared" si="5"/>
        <v>498000</v>
      </c>
      <c r="O22" s="405">
        <v>469416</v>
      </c>
      <c r="P22" s="405"/>
      <c r="Q22" s="312">
        <f t="shared" si="6"/>
        <v>469416</v>
      </c>
      <c r="R22" s="28">
        <f t="shared" si="7"/>
        <v>-28584</v>
      </c>
      <c r="S22" s="28">
        <f t="shared" si="7"/>
        <v>0</v>
      </c>
      <c r="T22" s="29">
        <f>SUM(R22:S22)</f>
        <v>-28584</v>
      </c>
      <c r="U22" s="27">
        <f t="shared" si="0"/>
        <v>149400</v>
      </c>
      <c r="V22" s="27">
        <f t="shared" si="0"/>
        <v>0</v>
      </c>
      <c r="W22" s="27">
        <f t="shared" si="0"/>
        <v>149400</v>
      </c>
      <c r="X22" s="27">
        <f>X105</f>
        <v>0</v>
      </c>
      <c r="Y22" s="27">
        <f>Y105</f>
        <v>0</v>
      </c>
      <c r="Z22" s="27">
        <f t="shared" si="1"/>
        <v>0</v>
      </c>
      <c r="AA22" s="27">
        <v>499282</v>
      </c>
      <c r="AC22" s="27">
        <v>499282</v>
      </c>
      <c r="AD22" s="27">
        <f t="shared" si="10"/>
        <v>-1282</v>
      </c>
      <c r="AE22" s="27">
        <f t="shared" si="10"/>
        <v>0</v>
      </c>
      <c r="AF22" s="27">
        <f t="shared" si="11"/>
        <v>-1282</v>
      </c>
    </row>
    <row r="23" spans="1:36" ht="38.25" hidden="1" customHeight="1">
      <c r="A23" s="273" t="s">
        <v>665</v>
      </c>
      <c r="B23" s="1222" t="s">
        <v>1241</v>
      </c>
      <c r="C23" s="1223"/>
      <c r="D23" s="1220">
        <v>8100</v>
      </c>
      <c r="E23" s="1221"/>
      <c r="F23" s="524" t="s">
        <v>1242</v>
      </c>
      <c r="G23" s="488" t="s">
        <v>769</v>
      </c>
      <c r="H23" s="489" t="s">
        <v>903</v>
      </c>
      <c r="I23" s="473">
        <f>L23</f>
        <v>9279963</v>
      </c>
      <c r="J23" s="473">
        <f>J103</f>
        <v>0</v>
      </c>
      <c r="K23" s="473">
        <f t="shared" si="9"/>
        <v>9279963</v>
      </c>
      <c r="L23" s="167">
        <f>L103</f>
        <v>9279963</v>
      </c>
      <c r="M23" s="167">
        <f>M103</f>
        <v>0</v>
      </c>
      <c r="N23" s="167">
        <f t="shared" si="5"/>
        <v>9279963</v>
      </c>
      <c r="O23" s="405">
        <v>455585</v>
      </c>
      <c r="P23" s="405">
        <v>18900</v>
      </c>
      <c r="Q23" s="312">
        <f t="shared" si="6"/>
        <v>474485</v>
      </c>
      <c r="R23" s="28">
        <f>O23-L23</f>
        <v>-8824378</v>
      </c>
      <c r="S23" s="28">
        <f>P23-M23</f>
        <v>18900</v>
      </c>
      <c r="T23" s="29">
        <f>SUM(R23:S23)</f>
        <v>-8805478</v>
      </c>
      <c r="U23" s="27">
        <f t="shared" si="0"/>
        <v>2783988.9</v>
      </c>
      <c r="V23" s="27">
        <f t="shared" si="0"/>
        <v>0</v>
      </c>
      <c r="W23" s="27">
        <f t="shared" si="0"/>
        <v>2783988.9</v>
      </c>
      <c r="X23" s="27">
        <f>X115</f>
        <v>0</v>
      </c>
      <c r="Z23" s="27">
        <f t="shared" si="1"/>
        <v>0</v>
      </c>
      <c r="AA23" s="27">
        <v>650205</v>
      </c>
      <c r="AB23" s="27">
        <v>97680</v>
      </c>
      <c r="AC23" s="27">
        <v>747885</v>
      </c>
      <c r="AD23" s="27">
        <f t="shared" si="10"/>
        <v>8629758</v>
      </c>
      <c r="AE23" s="27">
        <f t="shared" si="10"/>
        <v>-97680</v>
      </c>
      <c r="AF23" s="27">
        <f t="shared" si="11"/>
        <v>8532078</v>
      </c>
    </row>
    <row r="24" spans="1:36" ht="38.25" hidden="1" customHeight="1">
      <c r="A24" s="273"/>
      <c r="B24" s="1222" t="s">
        <v>1237</v>
      </c>
      <c r="C24" s="1223"/>
      <c r="D24" s="1220">
        <v>8188</v>
      </c>
      <c r="E24" s="1221"/>
      <c r="F24" s="492">
        <v>140984</v>
      </c>
      <c r="G24" s="488" t="s">
        <v>932</v>
      </c>
      <c r="H24" s="489" t="s">
        <v>903</v>
      </c>
      <c r="I24" s="473">
        <f t="shared" si="8"/>
        <v>500000</v>
      </c>
      <c r="J24" s="473">
        <f>M24</f>
        <v>0</v>
      </c>
      <c r="K24" s="473">
        <f t="shared" si="9"/>
        <v>500000</v>
      </c>
      <c r="L24" s="167">
        <v>500000</v>
      </c>
      <c r="M24" s="167"/>
      <c r="N24" s="167">
        <f t="shared" si="5"/>
        <v>500000</v>
      </c>
      <c r="O24" s="405"/>
      <c r="P24" s="405">
        <v>300000</v>
      </c>
      <c r="Q24" s="312">
        <f t="shared" si="6"/>
        <v>300000</v>
      </c>
    </row>
    <row r="25" spans="1:36" ht="59.25" hidden="1" customHeight="1">
      <c r="A25" s="273"/>
      <c r="B25" s="1222" t="s">
        <v>902</v>
      </c>
      <c r="C25" s="1223"/>
      <c r="D25" s="1220">
        <v>8188</v>
      </c>
      <c r="E25" s="1221"/>
      <c r="F25" s="492">
        <v>140987</v>
      </c>
      <c r="G25" s="488" t="s">
        <v>932</v>
      </c>
      <c r="H25" s="489" t="s">
        <v>903</v>
      </c>
      <c r="I25" s="473">
        <f t="shared" si="8"/>
        <v>3133271</v>
      </c>
      <c r="J25" s="473">
        <f>M25</f>
        <v>0</v>
      </c>
      <c r="K25" s="473">
        <f t="shared" si="9"/>
        <v>3133271</v>
      </c>
      <c r="L25" s="167">
        <v>3133271</v>
      </c>
      <c r="M25" s="167"/>
      <c r="N25" s="167">
        <f t="shared" si="5"/>
        <v>3133271</v>
      </c>
      <c r="O25" s="405">
        <v>650000</v>
      </c>
      <c r="P25" s="405"/>
      <c r="Q25" s="312">
        <f t="shared" si="6"/>
        <v>650000</v>
      </c>
    </row>
    <row r="26" spans="1:36" ht="38.25" hidden="1" customHeight="1">
      <c r="A26" s="273" t="s">
        <v>463</v>
      </c>
      <c r="B26" s="1222" t="s">
        <v>1243</v>
      </c>
      <c r="C26" s="1223"/>
      <c r="D26" s="1220">
        <v>8100</v>
      </c>
      <c r="E26" s="1221"/>
      <c r="F26" s="524" t="s">
        <v>1244</v>
      </c>
      <c r="G26" s="1233" t="s">
        <v>770</v>
      </c>
      <c r="H26" s="1235">
        <v>48650</v>
      </c>
      <c r="I26" s="473">
        <f t="shared" si="8"/>
        <v>88031330</v>
      </c>
      <c r="J26" s="473">
        <f>J106</f>
        <v>4887750</v>
      </c>
      <c r="K26" s="473">
        <f t="shared" si="9"/>
        <v>92919080</v>
      </c>
      <c r="L26" s="167">
        <f>L106</f>
        <v>88031330</v>
      </c>
      <c r="M26" s="167">
        <f>M106</f>
        <v>4887750</v>
      </c>
      <c r="N26" s="167">
        <f t="shared" si="5"/>
        <v>92919080</v>
      </c>
      <c r="O26" s="405">
        <f>118987519+168154-O27</f>
        <v>110882990</v>
      </c>
      <c r="P26" s="405">
        <v>100408</v>
      </c>
      <c r="Q26" s="312">
        <f t="shared" si="6"/>
        <v>110983398</v>
      </c>
      <c r="R26" s="28">
        <f>O26-L26</f>
        <v>22851660</v>
      </c>
      <c r="S26" s="28">
        <f>P26-M26</f>
        <v>-4787342</v>
      </c>
      <c r="T26" s="29">
        <f>SUM(R26:S26)</f>
        <v>18064318</v>
      </c>
      <c r="U26" s="27">
        <f t="shared" si="0"/>
        <v>26409399</v>
      </c>
      <c r="V26" s="27">
        <f t="shared" si="0"/>
        <v>1466325</v>
      </c>
      <c r="W26" s="27">
        <f t="shared" si="0"/>
        <v>27875724</v>
      </c>
      <c r="X26" s="27">
        <f>X117</f>
        <v>0</v>
      </c>
      <c r="Y26" s="27">
        <f>Y117</f>
        <v>0</v>
      </c>
      <c r="Z26" s="27">
        <f t="shared" si="1"/>
        <v>0</v>
      </c>
      <c r="AA26" s="27">
        <v>82375938</v>
      </c>
      <c r="AB26" s="27">
        <v>8479132</v>
      </c>
      <c r="AC26" s="27">
        <v>90855070</v>
      </c>
      <c r="AD26" s="27">
        <f t="shared" si="10"/>
        <v>5655392</v>
      </c>
      <c r="AE26" s="27">
        <f t="shared" si="10"/>
        <v>-3591382</v>
      </c>
      <c r="AF26" s="27">
        <f t="shared" si="11"/>
        <v>2064010</v>
      </c>
    </row>
    <row r="27" spans="1:36" ht="38.25" hidden="1" customHeight="1">
      <c r="A27" s="273"/>
      <c r="B27" s="1222" t="s">
        <v>783</v>
      </c>
      <c r="C27" s="1223"/>
      <c r="D27" s="1220">
        <v>8100</v>
      </c>
      <c r="E27" s="1221"/>
      <c r="F27" s="524" t="s">
        <v>780</v>
      </c>
      <c r="G27" s="1234"/>
      <c r="H27" s="1236"/>
      <c r="I27" s="473">
        <f t="shared" si="8"/>
        <v>30729322</v>
      </c>
      <c r="J27" s="473"/>
      <c r="K27" s="473">
        <f t="shared" si="9"/>
        <v>30729322</v>
      </c>
      <c r="L27" s="167">
        <f>L117</f>
        <v>30729322</v>
      </c>
      <c r="M27" s="167"/>
      <c r="N27" s="167">
        <f t="shared" si="5"/>
        <v>30729322</v>
      </c>
      <c r="O27" s="405">
        <v>8272683</v>
      </c>
      <c r="P27" s="405"/>
      <c r="Q27" s="312">
        <f t="shared" si="6"/>
        <v>8272683</v>
      </c>
      <c r="R27" s="28">
        <f>O27-L27</f>
        <v>-22456639</v>
      </c>
      <c r="T27" s="29">
        <f>SUM(R27:S27)</f>
        <v>-22456639</v>
      </c>
      <c r="Y27" s="27">
        <f>Y120</f>
        <v>0</v>
      </c>
      <c r="Z27" s="27">
        <f t="shared" si="1"/>
        <v>0</v>
      </c>
      <c r="AA27" s="27">
        <v>39053759</v>
      </c>
      <c r="AC27" s="27">
        <v>39053759</v>
      </c>
      <c r="AD27" s="27">
        <f t="shared" si="10"/>
        <v>-8324437</v>
      </c>
      <c r="AE27" s="27">
        <f t="shared" si="10"/>
        <v>0</v>
      </c>
      <c r="AF27" s="27">
        <f t="shared" si="11"/>
        <v>-8324437</v>
      </c>
    </row>
    <row r="28" spans="1:36" ht="38.25" hidden="1" customHeight="1">
      <c r="A28" s="273"/>
      <c r="B28" s="1222" t="s">
        <v>1239</v>
      </c>
      <c r="C28" s="1223"/>
      <c r="D28" s="1220">
        <v>8188</v>
      </c>
      <c r="E28" s="1221"/>
      <c r="F28" s="492">
        <v>140983</v>
      </c>
      <c r="G28" s="610" t="s">
        <v>770</v>
      </c>
      <c r="H28" s="616">
        <v>30</v>
      </c>
      <c r="I28" s="473">
        <f>L28</f>
        <v>100000</v>
      </c>
      <c r="J28" s="473"/>
      <c r="K28" s="473">
        <f>SUM(I28,J28)</f>
        <v>100000</v>
      </c>
      <c r="L28" s="167">
        <v>100000</v>
      </c>
      <c r="M28" s="167"/>
      <c r="N28" s="167">
        <f>SUM(L28,M28)</f>
        <v>100000</v>
      </c>
      <c r="O28" s="405">
        <v>8272683</v>
      </c>
      <c r="P28" s="405"/>
      <c r="Q28" s="312">
        <f>SUM(O28:P28)</f>
        <v>8272683</v>
      </c>
      <c r="R28" s="28">
        <f>O28-L28</f>
        <v>8172683</v>
      </c>
      <c r="T28" s="29">
        <f>SUM(R28:S28)</f>
        <v>8172683</v>
      </c>
      <c r="Y28" s="27">
        <f>Y121</f>
        <v>0</v>
      </c>
      <c r="Z28" s="27">
        <f>SUM(X28,Y28)</f>
        <v>0</v>
      </c>
      <c r="AA28" s="27">
        <v>39053759</v>
      </c>
      <c r="AC28" s="27">
        <v>39053759</v>
      </c>
      <c r="AD28" s="27">
        <f>I28-AA28</f>
        <v>-38953759</v>
      </c>
      <c r="AE28" s="27">
        <f>J28-AB28</f>
        <v>0</v>
      </c>
      <c r="AF28" s="27">
        <f>SUM(AD28:AE28)</f>
        <v>-38953759</v>
      </c>
    </row>
    <row r="29" spans="1:36" ht="38.25" hidden="1" customHeight="1">
      <c r="A29" s="273" t="s">
        <v>689</v>
      </c>
      <c r="B29" s="1222" t="s">
        <v>1251</v>
      </c>
      <c r="C29" s="1223"/>
      <c r="D29" s="1224" t="s">
        <v>1321</v>
      </c>
      <c r="E29" s="1225"/>
      <c r="F29" s="524" t="s">
        <v>1252</v>
      </c>
      <c r="G29" s="488" t="s">
        <v>771</v>
      </c>
      <c r="H29" s="598">
        <v>54954</v>
      </c>
      <c r="I29" s="473">
        <f>L29</f>
        <v>26898326</v>
      </c>
      <c r="J29" s="473">
        <f>J119</f>
        <v>0</v>
      </c>
      <c r="K29" s="473">
        <f t="shared" si="9"/>
        <v>26898326</v>
      </c>
      <c r="L29" s="167">
        <f>L119</f>
        <v>26898326</v>
      </c>
      <c r="M29" s="167">
        <f>M119</f>
        <v>0</v>
      </c>
      <c r="N29" s="167">
        <f t="shared" si="5"/>
        <v>26898326</v>
      </c>
      <c r="O29" s="405">
        <v>26385249</v>
      </c>
      <c r="P29" s="405">
        <v>4077265</v>
      </c>
      <c r="Q29" s="312">
        <f t="shared" si="6"/>
        <v>30462514</v>
      </c>
      <c r="R29" s="28">
        <f>O29-L29</f>
        <v>-513077</v>
      </c>
      <c r="S29" s="28">
        <f>P29-M29</f>
        <v>4077265</v>
      </c>
      <c r="T29" s="29">
        <f>SUM(R29:S29)</f>
        <v>3564188</v>
      </c>
      <c r="U29" s="27">
        <f t="shared" si="0"/>
        <v>8069497.7999999998</v>
      </c>
      <c r="V29" s="27">
        <f t="shared" si="0"/>
        <v>0</v>
      </c>
      <c r="W29" s="27">
        <f t="shared" si="0"/>
        <v>8069497.7999999998</v>
      </c>
      <c r="X29" s="27">
        <f>SUM(X33:X33)</f>
        <v>0</v>
      </c>
      <c r="Y29" s="27">
        <f>SUM(Y33:Y33)</f>
        <v>0</v>
      </c>
      <c r="Z29" s="27">
        <f>SUM(Z33:Z33)</f>
        <v>0</v>
      </c>
      <c r="AA29" s="27">
        <v>26900032</v>
      </c>
      <c r="AB29" s="27">
        <v>4077265</v>
      </c>
      <c r="AC29" s="27">
        <v>30977297</v>
      </c>
      <c r="AD29" s="27">
        <f t="shared" si="10"/>
        <v>-1706</v>
      </c>
      <c r="AE29" s="27">
        <f t="shared" si="10"/>
        <v>-4077265</v>
      </c>
      <c r="AF29" s="27">
        <f t="shared" si="11"/>
        <v>-4078971</v>
      </c>
    </row>
    <row r="30" spans="1:36" ht="38.25" hidden="1" customHeight="1">
      <c r="A30" s="273"/>
      <c r="B30" s="1222" t="s">
        <v>1253</v>
      </c>
      <c r="C30" s="1223"/>
      <c r="D30" s="1220">
        <v>8108</v>
      </c>
      <c r="E30" s="1221"/>
      <c r="F30" s="492">
        <v>108290</v>
      </c>
      <c r="G30" s="488" t="s">
        <v>772</v>
      </c>
      <c r="H30" s="489" t="s">
        <v>834</v>
      </c>
      <c r="I30" s="473">
        <f>L30</f>
        <v>0</v>
      </c>
      <c r="J30" s="473">
        <f>M30</f>
        <v>4446290</v>
      </c>
      <c r="K30" s="473">
        <f t="shared" si="9"/>
        <v>4446290</v>
      </c>
      <c r="L30" s="167">
        <f>L122</f>
        <v>0</v>
      </c>
      <c r="M30" s="167">
        <f>M122</f>
        <v>4446290</v>
      </c>
      <c r="N30" s="167">
        <f>SUM(L30,M30)</f>
        <v>4446290</v>
      </c>
      <c r="O30" s="405"/>
      <c r="P30" s="405">
        <v>24226553</v>
      </c>
      <c r="Q30" s="312">
        <f>SUM(O30:P30)</f>
        <v>24226553</v>
      </c>
      <c r="R30" s="28">
        <f>O30-L30</f>
        <v>0</v>
      </c>
      <c r="S30" s="28">
        <f>P30-M30</f>
        <v>19780263</v>
      </c>
      <c r="T30" s="29">
        <f>SUM(R30:S30)</f>
        <v>19780263</v>
      </c>
      <c r="U30" s="27">
        <f>30%*L30</f>
        <v>0</v>
      </c>
      <c r="V30" s="27">
        <f>30%*M30</f>
        <v>1333887</v>
      </c>
      <c r="W30" s="27">
        <f>30%*N30</f>
        <v>1333887</v>
      </c>
      <c r="X30" s="27">
        <f>X121</f>
        <v>0</v>
      </c>
      <c r="Y30" s="27">
        <f>Y121</f>
        <v>0</v>
      </c>
      <c r="Z30" s="27">
        <f>Z121</f>
        <v>0</v>
      </c>
      <c r="AB30" s="27">
        <v>27186664</v>
      </c>
      <c r="AC30" s="27">
        <v>27186664</v>
      </c>
      <c r="AD30" s="27">
        <f>I30-AA30</f>
        <v>0</v>
      </c>
      <c r="AE30" s="27">
        <f>J30-AB30</f>
        <v>-22740374</v>
      </c>
      <c r="AF30" s="27">
        <f>SUM(AD30:AE30)</f>
        <v>-22740374</v>
      </c>
    </row>
    <row r="31" spans="1:36" ht="38.25" hidden="1" customHeight="1">
      <c r="A31" s="273"/>
      <c r="B31" s="1222" t="s">
        <v>901</v>
      </c>
      <c r="C31" s="1223"/>
      <c r="D31" s="1220">
        <v>8188</v>
      </c>
      <c r="E31" s="1221"/>
      <c r="F31" s="492">
        <v>140984</v>
      </c>
      <c r="G31" s="488" t="s">
        <v>772</v>
      </c>
      <c r="H31" s="489" t="s">
        <v>903</v>
      </c>
      <c r="I31" s="473">
        <f t="shared" si="8"/>
        <v>0</v>
      </c>
      <c r="J31" s="473">
        <f>M31</f>
        <v>500000</v>
      </c>
      <c r="K31" s="473">
        <f t="shared" si="9"/>
        <v>500000</v>
      </c>
      <c r="L31" s="167"/>
      <c r="M31" s="167">
        <v>500000</v>
      </c>
      <c r="N31" s="167">
        <f>SUM(L31,M31)</f>
        <v>500000</v>
      </c>
      <c r="O31" s="405"/>
      <c r="P31" s="405">
        <v>500000</v>
      </c>
      <c r="Q31" s="312">
        <f>SUM(O31:P31)</f>
        <v>500000</v>
      </c>
    </row>
    <row r="32" spans="1:36" ht="64.5" hidden="1" customHeight="1">
      <c r="A32" s="273" t="s">
        <v>531</v>
      </c>
      <c r="B32" s="1222" t="s">
        <v>1238</v>
      </c>
      <c r="C32" s="1223"/>
      <c r="D32" s="1220">
        <v>8188</v>
      </c>
      <c r="E32" s="1221"/>
      <c r="F32" s="492">
        <v>140984</v>
      </c>
      <c r="G32" s="488" t="s">
        <v>772</v>
      </c>
      <c r="H32" s="489" t="s">
        <v>903</v>
      </c>
      <c r="I32" s="473">
        <f>L32</f>
        <v>0</v>
      </c>
      <c r="J32" s="473">
        <f>M32</f>
        <v>250000</v>
      </c>
      <c r="K32" s="473">
        <f>SUM(I32,J32)</f>
        <v>250000</v>
      </c>
      <c r="L32" s="167"/>
      <c r="M32" s="167">
        <v>250000</v>
      </c>
      <c r="N32" s="167">
        <f>SUM(L32,M32)</f>
        <v>250000</v>
      </c>
      <c r="O32" s="405"/>
      <c r="P32" s="405">
        <v>1000000</v>
      </c>
      <c r="Q32" s="312">
        <f>SUM(O32:P32)</f>
        <v>1000000</v>
      </c>
      <c r="R32" s="28">
        <f>O32-L32</f>
        <v>0</v>
      </c>
      <c r="S32" s="28">
        <f>P32-M32</f>
        <v>750000</v>
      </c>
      <c r="T32" s="29">
        <f>SUM(R32:S32)</f>
        <v>750000</v>
      </c>
      <c r="U32" s="27">
        <f>30%*L32</f>
        <v>0</v>
      </c>
      <c r="V32" s="27">
        <f>30%*M32</f>
        <v>75000</v>
      </c>
      <c r="W32" s="27">
        <f>30%*N32</f>
        <v>75000</v>
      </c>
      <c r="X32" s="27">
        <f t="shared" ref="X32:Z33" si="12">X121</f>
        <v>0</v>
      </c>
      <c r="Y32" s="27">
        <f t="shared" si="12"/>
        <v>0</v>
      </c>
      <c r="Z32" s="27">
        <f t="shared" si="12"/>
        <v>0</v>
      </c>
      <c r="AB32" s="27">
        <v>27186664</v>
      </c>
      <c r="AC32" s="27">
        <v>27186664</v>
      </c>
      <c r="AD32" s="27">
        <f>I32-AA32</f>
        <v>0</v>
      </c>
      <c r="AE32" s="27">
        <f>J32-AB32</f>
        <v>-26936664</v>
      </c>
      <c r="AF32" s="27">
        <f>SUM(AD32:AE32)</f>
        <v>-26936664</v>
      </c>
    </row>
    <row r="33" spans="1:32" ht="38.25" hidden="1" customHeight="1">
      <c r="A33" s="273" t="s">
        <v>531</v>
      </c>
      <c r="B33" s="1222" t="s">
        <v>1240</v>
      </c>
      <c r="C33" s="1223"/>
      <c r="D33" s="1220">
        <v>8188</v>
      </c>
      <c r="E33" s="1221"/>
      <c r="F33" s="492">
        <v>140984</v>
      </c>
      <c r="G33" s="488" t="s">
        <v>772</v>
      </c>
      <c r="H33" s="489" t="s">
        <v>903</v>
      </c>
      <c r="I33" s="473">
        <f t="shared" si="8"/>
        <v>0</v>
      </c>
      <c r="J33" s="473">
        <f>M33</f>
        <v>1000000</v>
      </c>
      <c r="K33" s="473">
        <f t="shared" si="9"/>
        <v>1000000</v>
      </c>
      <c r="L33" s="167"/>
      <c r="M33" s="167">
        <v>1000000</v>
      </c>
      <c r="N33" s="167">
        <f t="shared" si="5"/>
        <v>1000000</v>
      </c>
      <c r="O33" s="405"/>
      <c r="P33" s="405">
        <v>1000000</v>
      </c>
      <c r="Q33" s="312">
        <f t="shared" si="6"/>
        <v>1000000</v>
      </c>
      <c r="R33" s="28">
        <f>O33-L33</f>
        <v>0</v>
      </c>
      <c r="S33" s="28">
        <f>P33-M33</f>
        <v>0</v>
      </c>
      <c r="T33" s="29">
        <f>SUM(R33:S33)</f>
        <v>0</v>
      </c>
      <c r="U33" s="27">
        <f t="shared" si="0"/>
        <v>0</v>
      </c>
      <c r="V33" s="27">
        <f t="shared" si="0"/>
        <v>300000</v>
      </c>
      <c r="W33" s="27">
        <f t="shared" si="0"/>
        <v>300000</v>
      </c>
      <c r="X33" s="27">
        <f t="shared" si="12"/>
        <v>0</v>
      </c>
      <c r="Y33" s="27">
        <f t="shared" si="12"/>
        <v>0</v>
      </c>
      <c r="Z33" s="27">
        <f t="shared" si="12"/>
        <v>0</v>
      </c>
      <c r="AB33" s="27">
        <v>27186664</v>
      </c>
      <c r="AC33" s="27">
        <v>27186664</v>
      </c>
      <c r="AD33" s="27">
        <f t="shared" si="10"/>
        <v>0</v>
      </c>
      <c r="AE33" s="27">
        <f t="shared" si="10"/>
        <v>-26186664</v>
      </c>
      <c r="AF33" s="27">
        <f t="shared" si="11"/>
        <v>-26186664</v>
      </c>
    </row>
    <row r="34" spans="1:32" s="544" customFormat="1" ht="46.5" hidden="1" customHeight="1">
      <c r="A34" s="538" t="s">
        <v>418</v>
      </c>
      <c r="B34" s="1239" t="s">
        <v>418</v>
      </c>
      <c r="C34" s="1240"/>
      <c r="D34" s="1216"/>
      <c r="E34" s="1217"/>
      <c r="F34" s="540"/>
      <c r="G34" s="541"/>
      <c r="H34" s="541"/>
      <c r="I34" s="542">
        <f t="shared" ref="I34:T34" si="13">SUM(I35:I35)</f>
        <v>1195302</v>
      </c>
      <c r="J34" s="542">
        <f t="shared" si="13"/>
        <v>0</v>
      </c>
      <c r="K34" s="542">
        <f t="shared" si="13"/>
        <v>1195302</v>
      </c>
      <c r="L34" s="543">
        <f t="shared" si="13"/>
        <v>1195302</v>
      </c>
      <c r="M34" s="543">
        <f t="shared" si="13"/>
        <v>0</v>
      </c>
      <c r="N34" s="543">
        <f t="shared" si="13"/>
        <v>1195302</v>
      </c>
      <c r="O34" s="544">
        <f t="shared" si="13"/>
        <v>1290717</v>
      </c>
      <c r="P34" s="544">
        <f t="shared" si="13"/>
        <v>0</v>
      </c>
      <c r="Q34" s="624">
        <f t="shared" si="13"/>
        <v>1290717</v>
      </c>
      <c r="R34" s="544">
        <f t="shared" si="13"/>
        <v>95415</v>
      </c>
      <c r="S34" s="544">
        <f t="shared" si="13"/>
        <v>0</v>
      </c>
      <c r="T34" s="544">
        <f t="shared" si="13"/>
        <v>95415</v>
      </c>
      <c r="U34" s="544">
        <f t="shared" si="0"/>
        <v>358590.6</v>
      </c>
      <c r="V34" s="544">
        <f t="shared" si="0"/>
        <v>0</v>
      </c>
      <c r="W34" s="544">
        <f t="shared" si="0"/>
        <v>358590.6</v>
      </c>
      <c r="X34" s="544">
        <f t="shared" ref="X34:AF34" si="14">SUM(X35:X35)</f>
        <v>0</v>
      </c>
      <c r="Y34" s="544">
        <f t="shared" si="14"/>
        <v>0</v>
      </c>
      <c r="Z34" s="544">
        <f t="shared" si="14"/>
        <v>0</v>
      </c>
      <c r="AA34" s="544">
        <f t="shared" si="14"/>
        <v>1528423</v>
      </c>
      <c r="AB34" s="544">
        <f t="shared" si="14"/>
        <v>10000</v>
      </c>
      <c r="AC34" s="544">
        <f t="shared" si="14"/>
        <v>1538423</v>
      </c>
      <c r="AD34" s="544">
        <f t="shared" si="14"/>
        <v>-333121</v>
      </c>
      <c r="AE34" s="544">
        <f t="shared" si="14"/>
        <v>-10000</v>
      </c>
      <c r="AF34" s="544">
        <f t="shared" si="14"/>
        <v>-343121</v>
      </c>
    </row>
    <row r="35" spans="1:32" ht="57.75" hidden="1" customHeight="1">
      <c r="A35" s="273" t="s">
        <v>464</v>
      </c>
      <c r="B35" s="1222" t="s">
        <v>704</v>
      </c>
      <c r="C35" s="1223"/>
      <c r="D35" s="1220">
        <v>8100</v>
      </c>
      <c r="E35" s="1221"/>
      <c r="F35" s="524" t="s">
        <v>686</v>
      </c>
      <c r="G35" s="488" t="s">
        <v>18</v>
      </c>
      <c r="H35" s="489">
        <v>1828</v>
      </c>
      <c r="I35" s="473">
        <f t="shared" ref="I35:N35" si="15">I124</f>
        <v>1195302</v>
      </c>
      <c r="J35" s="473">
        <f t="shared" si="15"/>
        <v>0</v>
      </c>
      <c r="K35" s="473">
        <f t="shared" si="15"/>
        <v>1195302</v>
      </c>
      <c r="L35" s="167">
        <f t="shared" si="15"/>
        <v>1195302</v>
      </c>
      <c r="M35" s="167">
        <f t="shared" si="15"/>
        <v>0</v>
      </c>
      <c r="N35" s="167">
        <f t="shared" si="15"/>
        <v>1195302</v>
      </c>
      <c r="O35" s="405">
        <v>1290717</v>
      </c>
      <c r="P35" s="405"/>
      <c r="Q35" s="312">
        <f t="shared" si="6"/>
        <v>1290717</v>
      </c>
      <c r="R35" s="28">
        <f>O35-L35</f>
        <v>95415</v>
      </c>
      <c r="S35" s="28">
        <f>P35-M35</f>
        <v>0</v>
      </c>
      <c r="T35" s="29">
        <f>SUM(R35:S35)</f>
        <v>95415</v>
      </c>
      <c r="U35" s="27">
        <f t="shared" si="0"/>
        <v>358590.6</v>
      </c>
      <c r="V35" s="27">
        <f t="shared" si="0"/>
        <v>0</v>
      </c>
      <c r="W35" s="27">
        <f t="shared" si="0"/>
        <v>358590.6</v>
      </c>
      <c r="X35" s="27">
        <f>X127</f>
        <v>0</v>
      </c>
      <c r="Y35" s="27">
        <f>Y127</f>
        <v>0</v>
      </c>
      <c r="Z35" s="27">
        <f>Z127</f>
        <v>0</v>
      </c>
      <c r="AA35" s="27">
        <v>1528423</v>
      </c>
      <c r="AB35" s="27">
        <v>10000</v>
      </c>
      <c r="AC35" s="27">
        <v>1538423</v>
      </c>
      <c r="AD35" s="27">
        <f>I35-AA35</f>
        <v>-333121</v>
      </c>
      <c r="AE35" s="27">
        <f>J35-AB35</f>
        <v>-10000</v>
      </c>
      <c r="AF35" s="27">
        <f t="shared" si="11"/>
        <v>-343121</v>
      </c>
    </row>
    <row r="36" spans="1:32" s="544" customFormat="1" ht="61.5" hidden="1" customHeight="1">
      <c r="A36" s="538" t="s">
        <v>418</v>
      </c>
      <c r="B36" s="1237" t="s">
        <v>711</v>
      </c>
      <c r="C36" s="1238"/>
      <c r="D36" s="1216"/>
      <c r="E36" s="1217"/>
      <c r="F36" s="540"/>
      <c r="G36" s="541"/>
      <c r="H36" s="541"/>
      <c r="I36" s="542">
        <f t="shared" ref="I36:O38" si="16">SUM(I37:I37)</f>
        <v>132055</v>
      </c>
      <c r="J36" s="542">
        <f t="shared" si="16"/>
        <v>0</v>
      </c>
      <c r="K36" s="542">
        <f t="shared" si="16"/>
        <v>132055</v>
      </c>
      <c r="L36" s="543">
        <f t="shared" si="16"/>
        <v>132055</v>
      </c>
      <c r="M36" s="543">
        <f t="shared" si="16"/>
        <v>0</v>
      </c>
      <c r="N36" s="543">
        <f t="shared" si="16"/>
        <v>132055</v>
      </c>
      <c r="O36" s="544">
        <f t="shared" ref="O36:T36" si="17">SUM(O37:O37)</f>
        <v>132055</v>
      </c>
      <c r="P36" s="544">
        <f t="shared" si="17"/>
        <v>0</v>
      </c>
      <c r="Q36" s="624">
        <f t="shared" si="17"/>
        <v>132055</v>
      </c>
      <c r="R36" s="544">
        <f t="shared" si="17"/>
        <v>0</v>
      </c>
      <c r="S36" s="544">
        <f t="shared" si="17"/>
        <v>0</v>
      </c>
      <c r="T36" s="544">
        <f t="shared" si="17"/>
        <v>0</v>
      </c>
      <c r="U36" s="544">
        <f t="shared" ref="U36:W39" si="18">30%*L36</f>
        <v>39616.5</v>
      </c>
      <c r="V36" s="544">
        <f t="shared" si="18"/>
        <v>0</v>
      </c>
      <c r="W36" s="544">
        <f t="shared" si="18"/>
        <v>39616.5</v>
      </c>
      <c r="X36" s="544">
        <f>SUM(X37,X56,X58)</f>
        <v>980533895</v>
      </c>
      <c r="Z36" s="544">
        <f>SUM(Z37,Z56,Z58)</f>
        <v>980533895</v>
      </c>
      <c r="AA36" s="544">
        <f t="shared" ref="AA36:AF38" si="19">SUM(AA37:AA37)</f>
        <v>142055</v>
      </c>
      <c r="AB36" s="544">
        <f t="shared" si="19"/>
        <v>0</v>
      </c>
      <c r="AC36" s="544">
        <f t="shared" si="19"/>
        <v>142055</v>
      </c>
      <c r="AD36" s="544">
        <f t="shared" si="19"/>
        <v>-10000</v>
      </c>
      <c r="AE36" s="544">
        <f t="shared" si="19"/>
        <v>0</v>
      </c>
      <c r="AF36" s="544">
        <f t="shared" si="19"/>
        <v>-10000</v>
      </c>
    </row>
    <row r="37" spans="1:32" ht="53.25" hidden="1" customHeight="1">
      <c r="A37" s="273" t="s">
        <v>464</v>
      </c>
      <c r="B37" s="1222" t="s">
        <v>1054</v>
      </c>
      <c r="C37" s="1223"/>
      <c r="D37" s="1220">
        <v>8100</v>
      </c>
      <c r="E37" s="1221"/>
      <c r="F37" s="492">
        <v>138151</v>
      </c>
      <c r="G37" s="488"/>
      <c r="H37" s="489"/>
      <c r="I37" s="473">
        <f t="shared" ref="I37:N37" si="20">I129</f>
        <v>132055</v>
      </c>
      <c r="J37" s="473">
        <f t="shared" si="20"/>
        <v>0</v>
      </c>
      <c r="K37" s="473">
        <f t="shared" si="20"/>
        <v>132055</v>
      </c>
      <c r="L37" s="167">
        <f t="shared" si="20"/>
        <v>132055</v>
      </c>
      <c r="M37" s="167">
        <f t="shared" si="20"/>
        <v>0</v>
      </c>
      <c r="N37" s="167">
        <f t="shared" si="20"/>
        <v>132055</v>
      </c>
      <c r="O37" s="405">
        <v>132055</v>
      </c>
      <c r="P37" s="405"/>
      <c r="Q37" s="312">
        <f>SUM(O37:P37)</f>
        <v>132055</v>
      </c>
      <c r="R37" s="28">
        <f>O37-L37</f>
        <v>0</v>
      </c>
      <c r="S37" s="28">
        <f>P37-M37</f>
        <v>0</v>
      </c>
      <c r="T37" s="29">
        <f>SUM(R37:S37)</f>
        <v>0</v>
      </c>
      <c r="U37" s="27">
        <f t="shared" si="18"/>
        <v>39616.5</v>
      </c>
      <c r="V37" s="27">
        <f t="shared" si="18"/>
        <v>0</v>
      </c>
      <c r="W37" s="27">
        <f t="shared" si="18"/>
        <v>39616.5</v>
      </c>
      <c r="X37" s="27">
        <f>SUM(X54:X55)</f>
        <v>658580348</v>
      </c>
      <c r="Z37" s="27">
        <f>SUM(Z54:Z55)</f>
        <v>658580348</v>
      </c>
      <c r="AA37" s="27">
        <v>142055</v>
      </c>
      <c r="AB37" s="27">
        <v>0</v>
      </c>
      <c r="AC37" s="27">
        <v>142055</v>
      </c>
      <c r="AD37" s="27">
        <f>I37-AA37</f>
        <v>-10000</v>
      </c>
      <c r="AE37" s="27">
        <f>J37-AB37</f>
        <v>0</v>
      </c>
      <c r="AF37" s="27">
        <f t="shared" si="11"/>
        <v>-10000</v>
      </c>
    </row>
    <row r="38" spans="1:32" s="544" customFormat="1" ht="61.5" hidden="1" customHeight="1">
      <c r="A38" s="538" t="s">
        <v>418</v>
      </c>
      <c r="B38" s="1237" t="s">
        <v>430</v>
      </c>
      <c r="C38" s="1238"/>
      <c r="D38" s="1216"/>
      <c r="E38" s="1217"/>
      <c r="F38" s="540"/>
      <c r="G38" s="541"/>
      <c r="H38" s="541"/>
      <c r="I38" s="542">
        <f t="shared" si="16"/>
        <v>4000</v>
      </c>
      <c r="J38" s="542">
        <f t="shared" si="16"/>
        <v>0</v>
      </c>
      <c r="K38" s="542">
        <f>SUM(I38:J38)</f>
        <v>4000</v>
      </c>
      <c r="L38" s="543">
        <f t="shared" si="16"/>
        <v>4000</v>
      </c>
      <c r="M38" s="543">
        <f t="shared" si="16"/>
        <v>0</v>
      </c>
      <c r="N38" s="543">
        <f t="shared" si="16"/>
        <v>4000</v>
      </c>
      <c r="O38" s="544">
        <f t="shared" si="16"/>
        <v>132055</v>
      </c>
      <c r="P38" s="544">
        <f>SUM(P39:P39)</f>
        <v>0</v>
      </c>
      <c r="Q38" s="624">
        <f>SUM(Q39:Q39)</f>
        <v>132055</v>
      </c>
      <c r="R38" s="544">
        <f>SUM(R39:R39)</f>
        <v>128055</v>
      </c>
      <c r="S38" s="544">
        <f>SUM(S39:S39)</f>
        <v>0</v>
      </c>
      <c r="T38" s="544">
        <f>SUM(T39:T39)</f>
        <v>128055</v>
      </c>
      <c r="U38" s="544">
        <f t="shared" si="18"/>
        <v>1200</v>
      </c>
      <c r="V38" s="544">
        <f t="shared" si="18"/>
        <v>0</v>
      </c>
      <c r="W38" s="544">
        <f t="shared" si="18"/>
        <v>1200</v>
      </c>
      <c r="X38" s="544">
        <f>SUM(X39,X58,X61)</f>
        <v>626673417</v>
      </c>
      <c r="Z38" s="544">
        <f>SUM(Z39,Z58,Z61)</f>
        <v>626673417</v>
      </c>
      <c r="AA38" s="544">
        <f t="shared" si="19"/>
        <v>142055</v>
      </c>
      <c r="AB38" s="544">
        <f t="shared" si="19"/>
        <v>0</v>
      </c>
      <c r="AC38" s="544">
        <f t="shared" si="19"/>
        <v>142055</v>
      </c>
      <c r="AD38" s="544">
        <f t="shared" si="19"/>
        <v>-138055</v>
      </c>
      <c r="AE38" s="544">
        <f t="shared" si="19"/>
        <v>0</v>
      </c>
      <c r="AF38" s="544">
        <f t="shared" si="19"/>
        <v>-138055</v>
      </c>
    </row>
    <row r="39" spans="1:32" ht="57.75" hidden="1" customHeight="1">
      <c r="A39" s="273" t="s">
        <v>464</v>
      </c>
      <c r="B39" s="1222" t="s">
        <v>1053</v>
      </c>
      <c r="C39" s="1223"/>
      <c r="D39" s="1220">
        <v>8100</v>
      </c>
      <c r="E39" s="1221"/>
      <c r="F39" s="492">
        <v>138152</v>
      </c>
      <c r="G39" s="488"/>
      <c r="H39" s="489"/>
      <c r="I39" s="473">
        <f>L39</f>
        <v>4000</v>
      </c>
      <c r="J39" s="473"/>
      <c r="K39" s="473">
        <f>SUM(I39:J39)</f>
        <v>4000</v>
      </c>
      <c r="L39" s="167">
        <f>L130</f>
        <v>4000</v>
      </c>
      <c r="M39" s="167"/>
      <c r="N39" s="167">
        <f>SUM(L39:M39)</f>
        <v>4000</v>
      </c>
      <c r="O39" s="405">
        <v>132055</v>
      </c>
      <c r="P39" s="405"/>
      <c r="Q39" s="312">
        <f>SUM(O39:P39)</f>
        <v>132055</v>
      </c>
      <c r="R39" s="28">
        <f>O39-L39</f>
        <v>128055</v>
      </c>
      <c r="S39" s="28">
        <f>P39-M39</f>
        <v>0</v>
      </c>
      <c r="T39" s="29">
        <f>SUM(R39:S39)</f>
        <v>128055</v>
      </c>
      <c r="U39" s="27">
        <f t="shared" si="18"/>
        <v>1200</v>
      </c>
      <c r="V39" s="27">
        <f t="shared" si="18"/>
        <v>0</v>
      </c>
      <c r="W39" s="27">
        <f t="shared" si="18"/>
        <v>1200</v>
      </c>
      <c r="X39" s="27">
        <f>SUM(X56:X57)</f>
        <v>609439740</v>
      </c>
      <c r="Z39" s="27">
        <f>SUM(Z56:Z57)</f>
        <v>609439740</v>
      </c>
      <c r="AA39" s="27">
        <v>142055</v>
      </c>
      <c r="AB39" s="27">
        <v>0</v>
      </c>
      <c r="AC39" s="27">
        <v>142055</v>
      </c>
      <c r="AD39" s="27">
        <f>I39-AA39</f>
        <v>-138055</v>
      </c>
      <c r="AE39" s="27">
        <f>J39-AB39</f>
        <v>0</v>
      </c>
      <c r="AF39" s="27">
        <f>SUM(AD39:AE39)</f>
        <v>-138055</v>
      </c>
    </row>
    <row r="40" spans="1:32" s="51" customFormat="1" ht="35.1" hidden="1" customHeight="1">
      <c r="A40" s="50"/>
      <c r="B40" s="50"/>
      <c r="C40" s="50"/>
      <c r="D40" s="50"/>
      <c r="E40" s="50"/>
      <c r="F40" s="50"/>
      <c r="G40" s="11"/>
      <c r="H40" s="11"/>
      <c r="I40" s="11"/>
      <c r="J40" s="11"/>
      <c r="K40" s="11"/>
      <c r="L40" s="50"/>
      <c r="M40" s="50"/>
      <c r="N40" s="50"/>
      <c r="O40" s="28"/>
      <c r="P40" s="28"/>
      <c r="Q40" s="312"/>
      <c r="R40" s="28"/>
      <c r="S40" s="28"/>
      <c r="T40" s="29"/>
    </row>
    <row r="41" spans="1:32" s="51" customFormat="1" ht="30" hidden="1" customHeight="1" thickBot="1">
      <c r="A41" s="50"/>
      <c r="B41" s="50"/>
      <c r="C41" s="50"/>
      <c r="D41" s="50"/>
      <c r="E41" s="50"/>
      <c r="F41" s="50"/>
      <c r="G41" s="11"/>
      <c r="H41" s="11"/>
      <c r="I41" s="11"/>
      <c r="J41" s="11"/>
      <c r="K41" s="11"/>
      <c r="L41" s="50"/>
      <c r="M41" s="50"/>
      <c r="N41" s="50"/>
      <c r="O41" s="28"/>
      <c r="P41" s="28"/>
      <c r="Q41" s="312"/>
      <c r="R41" s="28"/>
      <c r="S41" s="28"/>
      <c r="T41" s="29"/>
    </row>
    <row r="42" spans="1:32" s="51" customFormat="1" ht="33" hidden="1" customHeight="1">
      <c r="A42" s="17"/>
      <c r="B42" s="17"/>
      <c r="C42" s="1204" t="s">
        <v>51</v>
      </c>
      <c r="D42" s="1204"/>
      <c r="E42" s="1204"/>
      <c r="F42" s="1204"/>
      <c r="G42" s="204"/>
      <c r="H42" s="1205" t="s">
        <v>55</v>
      </c>
      <c r="I42" s="1206"/>
      <c r="J42" s="1206"/>
      <c r="K42" s="1207"/>
      <c r="L42" s="343"/>
      <c r="M42" s="343"/>
      <c r="N42" s="343"/>
      <c r="O42" s="28"/>
      <c r="P42" s="28"/>
      <c r="Q42" s="312"/>
      <c r="R42" s="28"/>
      <c r="S42" s="28"/>
      <c r="T42" s="29"/>
    </row>
    <row r="43" spans="1:32" s="51" customFormat="1" ht="33" hidden="1" customHeight="1">
      <c r="A43" s="17"/>
      <c r="B43" s="17"/>
      <c r="C43" s="1204" t="s">
        <v>52</v>
      </c>
      <c r="D43" s="1204"/>
      <c r="E43" s="1204"/>
      <c r="F43" s="1204"/>
      <c r="G43" s="204"/>
      <c r="H43" s="1208"/>
      <c r="I43" s="1209"/>
      <c r="J43" s="1209"/>
      <c r="K43" s="1210"/>
      <c r="L43" s="343"/>
      <c r="M43" s="343"/>
      <c r="N43" s="343"/>
      <c r="O43" s="28"/>
      <c r="P43" s="28"/>
      <c r="Q43" s="312"/>
      <c r="R43" s="28"/>
      <c r="S43" s="28"/>
      <c r="T43" s="29"/>
    </row>
    <row r="44" spans="1:32" s="51" customFormat="1" ht="33" hidden="1" customHeight="1">
      <c r="A44" s="17"/>
      <c r="B44" s="17"/>
      <c r="C44" s="1204" t="s">
        <v>50</v>
      </c>
      <c r="D44" s="1204"/>
      <c r="E44" s="1204"/>
      <c r="F44" s="1204"/>
      <c r="G44" s="204"/>
      <c r="H44" s="1211"/>
      <c r="I44" s="1212"/>
      <c r="J44" s="1212"/>
      <c r="K44" s="1213"/>
      <c r="L44" s="343"/>
      <c r="M44" s="343"/>
      <c r="N44" s="343"/>
      <c r="O44" s="28"/>
      <c r="P44" s="28"/>
      <c r="Q44" s="312"/>
      <c r="R44" s="28"/>
      <c r="S44" s="28"/>
      <c r="T44" s="29"/>
    </row>
    <row r="45" spans="1:32" s="51" customFormat="1" ht="40.5" hidden="1" customHeight="1">
      <c r="A45" s="41"/>
      <c r="B45" s="41"/>
      <c r="C45" s="27"/>
      <c r="D45" s="27"/>
      <c r="E45" s="27"/>
      <c r="F45" s="43"/>
      <c r="G45" s="44"/>
      <c r="H45" s="1214" t="s">
        <v>53</v>
      </c>
      <c r="I45" s="1215"/>
      <c r="J45" s="1215"/>
      <c r="K45" s="477">
        <f>K8</f>
        <v>0</v>
      </c>
      <c r="L45" s="346"/>
      <c r="M45" s="346"/>
      <c r="N45" s="210"/>
      <c r="O45" s="28"/>
      <c r="P45" s="28"/>
      <c r="Q45" s="312"/>
      <c r="R45" s="28"/>
      <c r="S45" s="28"/>
      <c r="T45" s="29"/>
    </row>
    <row r="46" spans="1:32" s="51" customFormat="1" ht="20.100000000000001" hidden="1" customHeight="1">
      <c r="A46" s="606"/>
      <c r="B46" s="606"/>
      <c r="C46" s="606"/>
      <c r="D46" s="606"/>
      <c r="E46" s="606"/>
      <c r="F46" s="606"/>
      <c r="G46" s="43"/>
      <c r="H46" s="43"/>
      <c r="I46" s="43"/>
      <c r="J46" s="43"/>
      <c r="K46" s="43"/>
      <c r="L46" s="606"/>
      <c r="M46" s="606"/>
      <c r="N46" s="606"/>
      <c r="O46" s="28"/>
      <c r="P46" s="28"/>
      <c r="Q46" s="312"/>
      <c r="R46" s="28"/>
      <c r="S46" s="28"/>
      <c r="T46" s="29"/>
    </row>
    <row r="47" spans="1:32" s="51" customFormat="1" ht="17.100000000000001" hidden="1" customHeight="1">
      <c r="A47" s="606"/>
      <c r="B47" s="606"/>
      <c r="C47" s="606"/>
      <c r="D47" s="606"/>
      <c r="E47" s="606"/>
      <c r="F47" s="606"/>
      <c r="G47" s="43"/>
      <c r="H47" s="43"/>
      <c r="I47" s="43"/>
      <c r="J47" s="43"/>
      <c r="K47" s="43"/>
      <c r="L47" s="606"/>
      <c r="M47" s="606"/>
      <c r="N47" s="606"/>
      <c r="O47" s="28"/>
      <c r="P47" s="28"/>
      <c r="Q47" s="312"/>
      <c r="R47" s="28"/>
      <c r="S47" s="28"/>
      <c r="T47" s="29"/>
    </row>
    <row r="48" spans="1:32" ht="44.25" hidden="1" customHeight="1">
      <c r="A48" s="346" t="s">
        <v>1057</v>
      </c>
      <c r="B48" s="1226" t="s">
        <v>1037</v>
      </c>
      <c r="C48" s="1226"/>
      <c r="D48" s="1226"/>
      <c r="E48" s="1226"/>
      <c r="F48" s="1226"/>
      <c r="G48" s="1226"/>
      <c r="H48" s="1226"/>
      <c r="I48" s="1226"/>
      <c r="J48" s="1226"/>
      <c r="K48" s="1226"/>
      <c r="L48" s="346"/>
      <c r="M48" s="346"/>
      <c r="N48" s="346"/>
      <c r="O48" s="27"/>
      <c r="P48" s="27"/>
      <c r="Q48" s="620"/>
      <c r="R48" s="27"/>
      <c r="S48" s="27"/>
      <c r="T48" s="27"/>
    </row>
    <row r="49" spans="1:32" s="51" customFormat="1" ht="20.100000000000001" hidden="1" customHeight="1">
      <c r="A49" s="195"/>
      <c r="B49" s="195"/>
      <c r="C49" s="195"/>
      <c r="D49" s="195"/>
      <c r="E49" s="195"/>
      <c r="F49" s="195"/>
      <c r="G49" s="195"/>
      <c r="H49" s="205"/>
      <c r="I49" s="205"/>
      <c r="J49" s="205"/>
      <c r="K49" s="205"/>
      <c r="L49" s="195"/>
      <c r="M49" s="195"/>
      <c r="N49" s="195"/>
      <c r="O49" s="1241" t="s">
        <v>1067</v>
      </c>
      <c r="P49" s="1241"/>
      <c r="Q49" s="1241"/>
      <c r="R49" s="1241" t="s">
        <v>1068</v>
      </c>
      <c r="S49" s="1241"/>
      <c r="T49" s="1241"/>
    </row>
    <row r="50" spans="1:32" s="51" customFormat="1" ht="30" hidden="1" customHeight="1">
      <c r="A50" s="346" t="s">
        <v>135</v>
      </c>
      <c r="B50" s="1226" t="s">
        <v>135</v>
      </c>
      <c r="C50" s="1226"/>
      <c r="D50" s="1226"/>
      <c r="E50" s="1226"/>
      <c r="F50" s="1226"/>
      <c r="G50" s="1226"/>
      <c r="H50" s="1226"/>
      <c r="I50" s="1226"/>
      <c r="J50" s="1226"/>
      <c r="K50" s="1226"/>
      <c r="L50" s="346"/>
      <c r="M50" s="346"/>
      <c r="N50" s="353"/>
      <c r="O50" s="1241"/>
      <c r="P50" s="1241"/>
      <c r="Q50" s="1241"/>
      <c r="R50" s="1241"/>
      <c r="S50" s="1241"/>
      <c r="T50" s="1241"/>
    </row>
    <row r="51" spans="1:32" s="51" customFormat="1" ht="30" hidden="1" customHeight="1">
      <c r="A51" s="346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346"/>
      <c r="M51" s="346"/>
      <c r="N51" s="353"/>
      <c r="O51" s="521"/>
      <c r="P51" s="612"/>
      <c r="Q51" s="621"/>
      <c r="R51" s="612"/>
      <c r="S51" s="523"/>
      <c r="T51" s="612"/>
    </row>
    <row r="52" spans="1:32" ht="30" hidden="1" customHeight="1">
      <c r="A52" s="352"/>
      <c r="B52" s="605" t="s">
        <v>1254</v>
      </c>
      <c r="C52" s="605"/>
      <c r="D52" s="605"/>
      <c r="E52" s="605"/>
      <c r="F52" s="605"/>
      <c r="G52" s="605"/>
      <c r="H52" s="605"/>
      <c r="I52" s="605"/>
      <c r="J52" s="605"/>
      <c r="K52" s="605"/>
      <c r="L52" s="401">
        <f>SUM(L54,L107)</f>
        <v>1111413334</v>
      </c>
      <c r="M52" s="401">
        <f>SUM(M54,M107)</f>
        <v>1379439</v>
      </c>
      <c r="N52" s="401">
        <f>SUM(N54,N107)</f>
        <v>1112792773</v>
      </c>
      <c r="O52" s="520" t="s">
        <v>1064</v>
      </c>
      <c r="P52" s="520"/>
      <c r="Q52" s="621"/>
      <c r="R52" s="520" t="s">
        <v>1065</v>
      </c>
      <c r="S52" s="520"/>
      <c r="T52" s="520"/>
      <c r="U52" s="522"/>
      <c r="V52" s="522"/>
      <c r="W52" s="522"/>
      <c r="X52" s="515"/>
      <c r="Y52" s="515"/>
      <c r="Z52" s="516"/>
      <c r="AA52" s="517" t="s">
        <v>833</v>
      </c>
      <c r="AB52" s="518"/>
      <c r="AC52" s="518"/>
      <c r="AD52" s="519" t="s">
        <v>1066</v>
      </c>
      <c r="AE52" s="519"/>
      <c r="AF52" s="519"/>
    </row>
    <row r="53" spans="1:32" s="500" customFormat="1" ht="87" hidden="1" customHeight="1">
      <c r="A53" s="496" t="s">
        <v>15</v>
      </c>
      <c r="B53" s="1227" t="s">
        <v>15</v>
      </c>
      <c r="C53" s="1228"/>
      <c r="D53" s="1227" t="s">
        <v>440</v>
      </c>
      <c r="E53" s="1228"/>
      <c r="F53" s="497" t="s">
        <v>16</v>
      </c>
      <c r="G53" s="497" t="s">
        <v>178</v>
      </c>
      <c r="H53" s="497" t="s">
        <v>179</v>
      </c>
      <c r="I53" s="497" t="s">
        <v>180</v>
      </c>
      <c r="J53" s="497" t="s">
        <v>181</v>
      </c>
      <c r="K53" s="497" t="s">
        <v>200</v>
      </c>
      <c r="L53" s="496" t="s">
        <v>180</v>
      </c>
      <c r="M53" s="496" t="s">
        <v>181</v>
      </c>
      <c r="N53" s="496" t="s">
        <v>200</v>
      </c>
      <c r="O53" s="498"/>
      <c r="P53" s="498"/>
      <c r="Q53" s="622">
        <f>SUM(O53:P53)</f>
        <v>0</v>
      </c>
      <c r="R53" s="498"/>
      <c r="S53" s="498"/>
      <c r="T53" s="499">
        <f>SUM(R53:S53)</f>
        <v>0</v>
      </c>
      <c r="AA53" s="500" t="s">
        <v>180</v>
      </c>
      <c r="AB53" s="500" t="s">
        <v>181</v>
      </c>
      <c r="AC53" s="500" t="s">
        <v>200</v>
      </c>
      <c r="AD53" s="500" t="s">
        <v>180</v>
      </c>
      <c r="AE53" s="500" t="s">
        <v>181</v>
      </c>
      <c r="AF53" s="500" t="s">
        <v>200</v>
      </c>
    </row>
    <row r="54" spans="1:32" s="510" customFormat="1" ht="50.1" hidden="1" customHeight="1">
      <c r="A54" s="501" t="s">
        <v>133</v>
      </c>
      <c r="B54" s="1229" t="s">
        <v>133</v>
      </c>
      <c r="C54" s="1230"/>
      <c r="D54" s="1231"/>
      <c r="E54" s="1232"/>
      <c r="F54" s="504"/>
      <c r="G54" s="504"/>
      <c r="H54" s="504"/>
      <c r="I54" s="545">
        <f>SUM(I55,I58,I61)</f>
        <v>1048415964</v>
      </c>
      <c r="J54" s="545">
        <f>SUM(J55,J58,J61)</f>
        <v>0</v>
      </c>
      <c r="K54" s="545">
        <f>SUM(K55,K58,K61)</f>
        <v>1048415964</v>
      </c>
      <c r="L54" s="507">
        <f>SUM(L55,L58,L61)</f>
        <v>1048415964</v>
      </c>
      <c r="M54" s="507"/>
      <c r="N54" s="507">
        <f>SUM(N55,N58,N61)</f>
        <v>1048415964</v>
      </c>
      <c r="O54" s="508">
        <f>SUM(O55,O58,O61)</f>
        <v>1046312560</v>
      </c>
      <c r="P54" s="508"/>
      <c r="Q54" s="623">
        <f>SUM(Q55,Q58,Q61)</f>
        <v>1046312560</v>
      </c>
      <c r="R54" s="508">
        <f>SUM(R55,R58,R61)</f>
        <v>0</v>
      </c>
      <c r="S54" s="508">
        <f>SUM(S55,S58,S61)</f>
        <v>0</v>
      </c>
      <c r="T54" s="509">
        <f>SUM(T55,T58,T61)</f>
        <v>0</v>
      </c>
      <c r="X54" s="510">
        <v>106565550</v>
      </c>
      <c r="Z54" s="510">
        <f>SUM(X54,Y54)</f>
        <v>106565550</v>
      </c>
      <c r="AA54" s="510">
        <f>SUM(AA55,AA58,AA61)</f>
        <v>1097384275</v>
      </c>
      <c r="AC54" s="510">
        <f>SUM(AC55,AC58,AC61)</f>
        <v>1097384275</v>
      </c>
      <c r="AD54" s="510">
        <f>SUM(AD55,AD58,AD61)</f>
        <v>-48968311</v>
      </c>
      <c r="AF54" s="510">
        <f>SUM(AF55,AF58,AF61)</f>
        <v>-48968311</v>
      </c>
    </row>
    <row r="55" spans="1:32" s="544" customFormat="1" ht="46.5" hidden="1" customHeight="1">
      <c r="A55" s="538" t="s">
        <v>418</v>
      </c>
      <c r="B55" s="539" t="s">
        <v>418</v>
      </c>
      <c r="C55" s="539"/>
      <c r="D55" s="1216"/>
      <c r="E55" s="1217"/>
      <c r="F55" s="540"/>
      <c r="G55" s="541"/>
      <c r="H55" s="541"/>
      <c r="I55" s="542">
        <f>SUM(I56:I57)</f>
        <v>730387463</v>
      </c>
      <c r="J55" s="542">
        <f>SUM(J56:J57)</f>
        <v>0</v>
      </c>
      <c r="K55" s="542">
        <f>SUM(K56:K57)</f>
        <v>730387463</v>
      </c>
      <c r="L55" s="543">
        <f>SUM(L56:L57)</f>
        <v>730387463</v>
      </c>
      <c r="M55" s="543"/>
      <c r="N55" s="543">
        <f>SUM(N56:N57)</f>
        <v>730387463</v>
      </c>
      <c r="O55" s="544">
        <f>SUM(O56:O57)</f>
        <v>730387463</v>
      </c>
      <c r="Q55" s="624">
        <f>SUM(Q56:Q57)</f>
        <v>730387463</v>
      </c>
      <c r="R55" s="544">
        <f>SUM(R56:R57)</f>
        <v>0</v>
      </c>
      <c r="S55" s="544">
        <f>SUM(S56:S57)</f>
        <v>0</v>
      </c>
      <c r="T55" s="544">
        <f>SUM(T56:T57)</f>
        <v>0</v>
      </c>
      <c r="X55" s="544">
        <v>552014798</v>
      </c>
      <c r="Z55" s="544">
        <f>SUM(X55,Y55)</f>
        <v>552014798</v>
      </c>
      <c r="AA55" s="544">
        <f>SUM(AA56:AA57)</f>
        <v>559337164</v>
      </c>
      <c r="AC55" s="544">
        <f>SUM(AC56:AC57)</f>
        <v>559337164</v>
      </c>
      <c r="AD55" s="544">
        <f>SUM(AD56:AD57)</f>
        <v>171050299</v>
      </c>
      <c r="AF55" s="544">
        <f>SUM(AF56:AF57)</f>
        <v>171050299</v>
      </c>
    </row>
    <row r="56" spans="1:32" ht="38.25" hidden="1" customHeight="1">
      <c r="A56" s="273" t="s">
        <v>466</v>
      </c>
      <c r="B56" s="1218" t="s">
        <v>705</v>
      </c>
      <c r="C56" s="1219"/>
      <c r="D56" s="1220">
        <v>8100</v>
      </c>
      <c r="E56" s="1221"/>
      <c r="F56" s="524" t="s">
        <v>933</v>
      </c>
      <c r="G56" s="488"/>
      <c r="H56" s="489"/>
      <c r="I56" s="473">
        <f>L56</f>
        <v>127865959</v>
      </c>
      <c r="J56" s="473"/>
      <c r="K56" s="473">
        <f>SUM(I56,J56)</f>
        <v>127865959</v>
      </c>
      <c r="L56" s="167">
        <v>127865959</v>
      </c>
      <c r="M56" s="167"/>
      <c r="N56" s="167">
        <f>SUM(L56,M56)</f>
        <v>127865959</v>
      </c>
      <c r="O56" s="405">
        <f>L56</f>
        <v>127865959</v>
      </c>
      <c r="P56" s="405"/>
      <c r="Q56" s="312">
        <f>SUM(O56,P56)</f>
        <v>127865959</v>
      </c>
      <c r="R56" s="28">
        <f>O56-L56</f>
        <v>0</v>
      </c>
      <c r="S56" s="28">
        <f>P56-M56</f>
        <v>0</v>
      </c>
      <c r="T56" s="29">
        <f>SUM(R56:S56)</f>
        <v>0</v>
      </c>
      <c r="X56" s="27">
        <f>SUM(X57:X57)</f>
        <v>304719870</v>
      </c>
      <c r="Z56" s="27">
        <f>SUM(Z57:Z57)</f>
        <v>304719870</v>
      </c>
      <c r="AA56" s="27">
        <v>93563106</v>
      </c>
      <c r="AC56" s="27">
        <v>93563106</v>
      </c>
      <c r="AD56" s="27">
        <f>I56-AA56</f>
        <v>34302853</v>
      </c>
      <c r="AE56" s="27">
        <f>J56-AB56</f>
        <v>0</v>
      </c>
      <c r="AF56" s="27">
        <f>SUM(AD56:AE56)</f>
        <v>34302853</v>
      </c>
    </row>
    <row r="57" spans="1:32" ht="38.25" hidden="1" customHeight="1">
      <c r="A57" s="273" t="s">
        <v>465</v>
      </c>
      <c r="B57" s="1218" t="s">
        <v>706</v>
      </c>
      <c r="C57" s="1219"/>
      <c r="D57" s="1220">
        <v>8100</v>
      </c>
      <c r="E57" s="1221"/>
      <c r="F57" s="524" t="s">
        <v>934</v>
      </c>
      <c r="G57" s="488"/>
      <c r="H57" s="489"/>
      <c r="I57" s="473">
        <v>602521504</v>
      </c>
      <c r="J57" s="473"/>
      <c r="K57" s="473">
        <f>SUM(I57,J57)</f>
        <v>602521504</v>
      </c>
      <c r="L57" s="167">
        <f>I57</f>
        <v>602521504</v>
      </c>
      <c r="M57" s="167"/>
      <c r="N57" s="167">
        <f>SUM(L57,M57)</f>
        <v>602521504</v>
      </c>
      <c r="O57" s="405">
        <f>L57</f>
        <v>602521504</v>
      </c>
      <c r="P57" s="405"/>
      <c r="Q57" s="312">
        <f>SUM(O57,P57)</f>
        <v>602521504</v>
      </c>
      <c r="R57" s="28">
        <f>O57-L57</f>
        <v>0</v>
      </c>
      <c r="S57" s="28">
        <f>P57-M57</f>
        <v>0</v>
      </c>
      <c r="T57" s="29">
        <f>SUM(R57:S57)</f>
        <v>0</v>
      </c>
      <c r="X57" s="27">
        <v>304719870</v>
      </c>
      <c r="Z57" s="27">
        <f>SUM(X57,Y57)</f>
        <v>304719870</v>
      </c>
      <c r="AA57" s="27">
        <v>465774058</v>
      </c>
      <c r="AC57" s="27">
        <v>465774058</v>
      </c>
      <c r="AD57" s="27">
        <f>I57-AA57</f>
        <v>136747446</v>
      </c>
      <c r="AE57" s="27">
        <f>J57-AB57</f>
        <v>0</v>
      </c>
      <c r="AF57" s="27">
        <f>SUM(AD57:AE57)</f>
        <v>136747446</v>
      </c>
    </row>
    <row r="58" spans="1:32" s="544" customFormat="1" ht="46.5" hidden="1" customHeight="1">
      <c r="A58" s="538" t="s">
        <v>272</v>
      </c>
      <c r="B58" s="539" t="s">
        <v>272</v>
      </c>
      <c r="C58" s="539"/>
      <c r="D58" s="1216"/>
      <c r="E58" s="1217"/>
      <c r="F58" s="540"/>
      <c r="G58" s="541"/>
      <c r="H58" s="541"/>
      <c r="I58" s="542">
        <f t="shared" ref="I58:AF58" si="21">SUM(I59:I60)</f>
        <v>309897887</v>
      </c>
      <c r="J58" s="542">
        <f t="shared" si="21"/>
        <v>0</v>
      </c>
      <c r="K58" s="542">
        <f t="shared" si="21"/>
        <v>309897887</v>
      </c>
      <c r="L58" s="543">
        <f t="shared" si="21"/>
        <v>309897887</v>
      </c>
      <c r="M58" s="543">
        <f t="shared" si="21"/>
        <v>0</v>
      </c>
      <c r="N58" s="543">
        <f t="shared" si="21"/>
        <v>309897887</v>
      </c>
      <c r="O58" s="544">
        <f t="shared" si="21"/>
        <v>309897887</v>
      </c>
      <c r="P58" s="544">
        <f t="shared" si="21"/>
        <v>0</v>
      </c>
      <c r="Q58" s="624">
        <f t="shared" si="21"/>
        <v>309897887</v>
      </c>
      <c r="R58" s="544">
        <f t="shared" si="21"/>
        <v>0</v>
      </c>
      <c r="S58" s="544">
        <f t="shared" si="21"/>
        <v>0</v>
      </c>
      <c r="T58" s="544">
        <f t="shared" si="21"/>
        <v>0</v>
      </c>
      <c r="U58" s="544">
        <f t="shared" si="21"/>
        <v>0</v>
      </c>
      <c r="V58" s="544">
        <f t="shared" si="21"/>
        <v>0</v>
      </c>
      <c r="W58" s="544">
        <f t="shared" si="21"/>
        <v>0</v>
      </c>
      <c r="X58" s="544">
        <f t="shared" si="21"/>
        <v>17233677</v>
      </c>
      <c r="Y58" s="544">
        <f t="shared" si="21"/>
        <v>0</v>
      </c>
      <c r="Z58" s="544">
        <f t="shared" si="21"/>
        <v>17233677</v>
      </c>
      <c r="AA58" s="544">
        <f t="shared" si="21"/>
        <v>529534799</v>
      </c>
      <c r="AB58" s="544">
        <f t="shared" si="21"/>
        <v>0</v>
      </c>
      <c r="AC58" s="544">
        <f t="shared" si="21"/>
        <v>529534799</v>
      </c>
      <c r="AD58" s="544">
        <f t="shared" si="21"/>
        <v>-219636912</v>
      </c>
      <c r="AE58" s="544">
        <f t="shared" si="21"/>
        <v>0</v>
      </c>
      <c r="AF58" s="544">
        <f t="shared" si="21"/>
        <v>-219636912</v>
      </c>
    </row>
    <row r="59" spans="1:32" ht="38.25" hidden="1" customHeight="1">
      <c r="A59" s="273" t="s">
        <v>467</v>
      </c>
      <c r="B59" s="1218" t="s">
        <v>707</v>
      </c>
      <c r="C59" s="1219"/>
      <c r="D59" s="1220">
        <v>8100</v>
      </c>
      <c r="E59" s="1221"/>
      <c r="F59" s="524" t="s">
        <v>935</v>
      </c>
      <c r="G59" s="488"/>
      <c r="H59" s="489"/>
      <c r="I59" s="473">
        <f>L59</f>
        <v>192366349</v>
      </c>
      <c r="J59" s="473"/>
      <c r="K59" s="473">
        <f>SUM(I59,J59)</f>
        <v>192366349</v>
      </c>
      <c r="L59" s="167">
        <v>192366349</v>
      </c>
      <c r="M59" s="167"/>
      <c r="N59" s="167">
        <f>SUM(L59,M59)</f>
        <v>192366349</v>
      </c>
      <c r="O59" s="405">
        <v>192366349</v>
      </c>
      <c r="P59" s="405"/>
      <c r="Q59" s="312">
        <f>SUM(O59,P59)</f>
        <v>192366349</v>
      </c>
      <c r="R59" s="28">
        <f>O59-L59</f>
        <v>0</v>
      </c>
      <c r="S59" s="28">
        <f>P59-M59</f>
        <v>0</v>
      </c>
      <c r="T59" s="29">
        <f>SUM(R59:S59)</f>
        <v>0</v>
      </c>
      <c r="X59" s="27">
        <v>8616838</v>
      </c>
      <c r="Z59" s="27">
        <f>SUM(X59,Y59)</f>
        <v>8616838</v>
      </c>
      <c r="AA59" s="27">
        <v>264767399</v>
      </c>
      <c r="AC59" s="27">
        <f>SUM(AA59,AB59)</f>
        <v>264767399</v>
      </c>
      <c r="AD59" s="27">
        <f>I59-AA59</f>
        <v>-72401050</v>
      </c>
      <c r="AE59" s="27">
        <f>J59-AB59</f>
        <v>0</v>
      </c>
      <c r="AF59" s="27">
        <f>SUM(AD59:AE59)</f>
        <v>-72401050</v>
      </c>
    </row>
    <row r="60" spans="1:32" ht="38.25" hidden="1" customHeight="1">
      <c r="A60" s="273"/>
      <c r="B60" s="1218" t="s">
        <v>1050</v>
      </c>
      <c r="C60" s="1219"/>
      <c r="D60" s="1220">
        <v>8169</v>
      </c>
      <c r="E60" s="1221"/>
      <c r="F60" s="524" t="s">
        <v>935</v>
      </c>
      <c r="G60" s="488"/>
      <c r="H60" s="489"/>
      <c r="I60" s="473">
        <f>L60</f>
        <v>117531538</v>
      </c>
      <c r="J60" s="473"/>
      <c r="K60" s="473">
        <f>SUM(I60,J60)</f>
        <v>117531538</v>
      </c>
      <c r="L60" s="167">
        <v>117531538</v>
      </c>
      <c r="M60" s="167"/>
      <c r="N60" s="167">
        <f>SUM(L60,M60)</f>
        <v>117531538</v>
      </c>
      <c r="O60" s="405">
        <v>117531538</v>
      </c>
      <c r="P60" s="405"/>
      <c r="Q60" s="312">
        <f>SUM(O60,P60)</f>
        <v>117531538</v>
      </c>
      <c r="R60" s="28">
        <f>O60-L60</f>
        <v>0</v>
      </c>
      <c r="S60" s="28">
        <f>P60-M60</f>
        <v>0</v>
      </c>
      <c r="T60" s="29">
        <f>SUM(R60:S60)</f>
        <v>0</v>
      </c>
      <c r="X60" s="27">
        <v>8616839</v>
      </c>
      <c r="Z60" s="27">
        <f>SUM(X60,Y60)</f>
        <v>8616839</v>
      </c>
      <c r="AA60" s="27">
        <v>264767400</v>
      </c>
      <c r="AC60" s="27">
        <f>SUM(AA60,AB60)</f>
        <v>264767400</v>
      </c>
      <c r="AD60" s="27">
        <f>I60-AA60</f>
        <v>-147235862</v>
      </c>
      <c r="AE60" s="27">
        <f>J60-AB60</f>
        <v>0</v>
      </c>
      <c r="AF60" s="27">
        <f>SUM(AD60:AE60)</f>
        <v>-147235862</v>
      </c>
    </row>
    <row r="61" spans="1:32" s="544" customFormat="1" ht="46.5" hidden="1" customHeight="1">
      <c r="A61" s="538" t="s">
        <v>271</v>
      </c>
      <c r="B61" s="539" t="s">
        <v>271</v>
      </c>
      <c r="C61" s="539"/>
      <c r="D61" s="1216"/>
      <c r="E61" s="1217"/>
      <c r="F61" s="540"/>
      <c r="G61" s="541"/>
      <c r="H61" s="541"/>
      <c r="I61" s="542">
        <f t="shared" ref="I61:N61" si="22">SUM(I62:I63)</f>
        <v>8130614</v>
      </c>
      <c r="J61" s="542">
        <f t="shared" si="22"/>
        <v>0</v>
      </c>
      <c r="K61" s="542">
        <f t="shared" si="22"/>
        <v>8130614</v>
      </c>
      <c r="L61" s="543">
        <f t="shared" si="22"/>
        <v>8130614</v>
      </c>
      <c r="M61" s="543">
        <f t="shared" si="22"/>
        <v>0</v>
      </c>
      <c r="N61" s="543">
        <f t="shared" si="22"/>
        <v>8130614</v>
      </c>
      <c r="O61" s="544">
        <f t="shared" ref="O61:T61" si="23">SUM(O62)</f>
        <v>6027210</v>
      </c>
      <c r="P61" s="544">
        <f t="shared" si="23"/>
        <v>0</v>
      </c>
      <c r="Q61" s="624">
        <f t="shared" si="23"/>
        <v>6027210</v>
      </c>
      <c r="R61" s="544">
        <f t="shared" si="23"/>
        <v>0</v>
      </c>
      <c r="S61" s="544">
        <f t="shared" si="23"/>
        <v>0</v>
      </c>
      <c r="T61" s="544">
        <f t="shared" si="23"/>
        <v>0</v>
      </c>
      <c r="AA61" s="544">
        <f t="shared" ref="AA61:AF61" si="24">SUM(AA62:AA63)</f>
        <v>8512312</v>
      </c>
      <c r="AB61" s="544">
        <f t="shared" si="24"/>
        <v>0</v>
      </c>
      <c r="AC61" s="544">
        <f t="shared" si="24"/>
        <v>8512312</v>
      </c>
      <c r="AD61" s="544">
        <f t="shared" si="24"/>
        <v>-381698</v>
      </c>
      <c r="AE61" s="544">
        <f t="shared" si="24"/>
        <v>0</v>
      </c>
      <c r="AF61" s="544">
        <f t="shared" si="24"/>
        <v>-381698</v>
      </c>
    </row>
    <row r="62" spans="1:32" ht="38.25" hidden="1" customHeight="1">
      <c r="A62" s="273" t="s">
        <v>515</v>
      </c>
      <c r="B62" s="1218" t="s">
        <v>1051</v>
      </c>
      <c r="C62" s="1219"/>
      <c r="D62" s="1220">
        <v>8100</v>
      </c>
      <c r="E62" s="1221"/>
      <c r="F62" s="524" t="s">
        <v>920</v>
      </c>
      <c r="G62" s="488"/>
      <c r="H62" s="489"/>
      <c r="I62" s="473">
        <f>L62</f>
        <v>6027210</v>
      </c>
      <c r="J62" s="473"/>
      <c r="K62" s="473">
        <f>SUM(I62,J62)</f>
        <v>6027210</v>
      </c>
      <c r="L62" s="167">
        <v>6027210</v>
      </c>
      <c r="M62" s="167"/>
      <c r="N62" s="167">
        <f>SUM(L62,M62)</f>
        <v>6027210</v>
      </c>
      <c r="O62" s="405">
        <v>6027210</v>
      </c>
      <c r="P62" s="405"/>
      <c r="Q62" s="312">
        <f>SUM(O62,P62)</f>
        <v>6027210</v>
      </c>
      <c r="R62" s="28">
        <f>O62-L62</f>
        <v>0</v>
      </c>
      <c r="S62" s="28">
        <f>P62-M62</f>
        <v>0</v>
      </c>
      <c r="T62" s="29">
        <f>SUM(R62:S62)</f>
        <v>0</v>
      </c>
      <c r="AA62" s="27">
        <v>4256156</v>
      </c>
      <c r="AC62" s="27">
        <f>SUM(AA62,AB62)</f>
        <v>4256156</v>
      </c>
      <c r="AD62" s="27">
        <f>I62-AA62</f>
        <v>1771054</v>
      </c>
      <c r="AE62" s="27">
        <f>J62-AB62</f>
        <v>0</v>
      </c>
      <c r="AF62" s="27">
        <f>SUM(AD62:AE62)</f>
        <v>1771054</v>
      </c>
    </row>
    <row r="63" spans="1:32" ht="38.25" hidden="1" customHeight="1">
      <c r="A63" s="273" t="s">
        <v>515</v>
      </c>
      <c r="B63" s="1218" t="s">
        <v>1052</v>
      </c>
      <c r="C63" s="1219"/>
      <c r="D63" s="1220">
        <v>8100</v>
      </c>
      <c r="E63" s="1221"/>
      <c r="F63" s="524" t="s">
        <v>920</v>
      </c>
      <c r="G63" s="488"/>
      <c r="H63" s="489"/>
      <c r="I63" s="473">
        <f>L63</f>
        <v>2103404</v>
      </c>
      <c r="J63" s="473"/>
      <c r="K63" s="473">
        <f>SUM(I63,J63)</f>
        <v>2103404</v>
      </c>
      <c r="L63" s="167">
        <v>2103404</v>
      </c>
      <c r="M63" s="167"/>
      <c r="N63" s="167">
        <f>SUM(L63,M63)</f>
        <v>2103404</v>
      </c>
      <c r="O63" s="405">
        <v>2103404</v>
      </c>
      <c r="P63" s="405"/>
      <c r="Q63" s="312">
        <f>SUM(O63,P63)</f>
        <v>2103404</v>
      </c>
      <c r="R63" s="28">
        <f>O63-L63</f>
        <v>0</v>
      </c>
      <c r="S63" s="28">
        <f>P63-M63</f>
        <v>0</v>
      </c>
      <c r="T63" s="29">
        <f>SUM(R63:S63)</f>
        <v>0</v>
      </c>
      <c r="AA63" s="27">
        <v>4256156</v>
      </c>
      <c r="AC63" s="27">
        <f>SUM(AA63,AB63)</f>
        <v>4256156</v>
      </c>
      <c r="AD63" s="27">
        <f>I63-AA63</f>
        <v>-2152752</v>
      </c>
      <c r="AE63" s="27">
        <f>J63-AB63</f>
        <v>0</v>
      </c>
      <c r="AF63" s="27">
        <f>SUM(AD63:AE63)</f>
        <v>-2152752</v>
      </c>
    </row>
    <row r="64" spans="1:32" s="510" customFormat="1" ht="50.1" hidden="1" customHeight="1">
      <c r="A64" s="501" t="s">
        <v>240</v>
      </c>
      <c r="B64" s="1229" t="s">
        <v>240</v>
      </c>
      <c r="C64" s="1230"/>
      <c r="D64" s="1231"/>
      <c r="E64" s="1232"/>
      <c r="F64" s="504"/>
      <c r="G64" s="504"/>
      <c r="H64" s="504"/>
      <c r="I64" s="545">
        <f>SUM(I65)</f>
        <v>38023922</v>
      </c>
      <c r="J64" s="545">
        <f>SUM(J65)</f>
        <v>0</v>
      </c>
      <c r="K64" s="545">
        <f>SUM(K65)</f>
        <v>38023922</v>
      </c>
      <c r="L64" s="507">
        <f>SUM(L65)</f>
        <v>38023922</v>
      </c>
      <c r="M64" s="507"/>
      <c r="N64" s="507">
        <f>SUM(N65)</f>
        <v>38023922</v>
      </c>
      <c r="O64" s="508">
        <f>SUM(O65)</f>
        <v>38023922</v>
      </c>
      <c r="P64" s="508"/>
      <c r="Q64" s="623">
        <f>SUM(Q65)</f>
        <v>38023922</v>
      </c>
      <c r="R64" s="508">
        <f>SUM(R65)</f>
        <v>0</v>
      </c>
      <c r="S64" s="508">
        <f>SUM(S65)</f>
        <v>0</v>
      </c>
      <c r="T64" s="509">
        <f>SUM(T65)</f>
        <v>0</v>
      </c>
      <c r="AA64" s="510">
        <f>SUM(AA65)</f>
        <v>26575536</v>
      </c>
      <c r="AC64" s="510">
        <f>SUM(AC65)</f>
        <v>26575536</v>
      </c>
      <c r="AD64" s="510">
        <f>SUM(AD65)</f>
        <v>3941414</v>
      </c>
      <c r="AF64" s="510">
        <f>SUM(AF65)</f>
        <v>3941414</v>
      </c>
    </row>
    <row r="65" spans="1:32" s="544" customFormat="1" ht="46.5" hidden="1" customHeight="1">
      <c r="A65" s="538" t="s">
        <v>418</v>
      </c>
      <c r="B65" s="539" t="s">
        <v>418</v>
      </c>
      <c r="C65" s="539"/>
      <c r="D65" s="1216"/>
      <c r="E65" s="1217"/>
      <c r="F65" s="540"/>
      <c r="G65" s="541"/>
      <c r="H65" s="541"/>
      <c r="I65" s="542">
        <f>SUM(I66:I71)</f>
        <v>38023922</v>
      </c>
      <c r="J65" s="542">
        <f>SUM(J66:J71)</f>
        <v>0</v>
      </c>
      <c r="K65" s="542">
        <f>SUM(K66:K71)</f>
        <v>38023922</v>
      </c>
      <c r="L65" s="543">
        <f>SUM(L66:L71)</f>
        <v>38023922</v>
      </c>
      <c r="M65" s="543"/>
      <c r="N65" s="543">
        <f>SUM(N66:N71)</f>
        <v>38023922</v>
      </c>
      <c r="O65" s="544">
        <f>SUM(O66:O71)</f>
        <v>38023922</v>
      </c>
      <c r="Q65" s="624">
        <f>SUM(Q66:Q71)</f>
        <v>38023922</v>
      </c>
      <c r="R65" s="544">
        <f>SUM(R66:R71)</f>
        <v>0</v>
      </c>
      <c r="S65" s="544">
        <f>SUM(S66:S71)</f>
        <v>0</v>
      </c>
      <c r="T65" s="544">
        <f>SUM(T66:T71)</f>
        <v>0</v>
      </c>
      <c r="AA65" s="544">
        <f>SUM(AA66:AA71)</f>
        <v>26575536</v>
      </c>
      <c r="AC65" s="544">
        <f>SUM(AC66:AC71)</f>
        <v>26575536</v>
      </c>
      <c r="AD65" s="544">
        <f>SUM(AD66:AD71)</f>
        <v>3941414</v>
      </c>
      <c r="AF65" s="544">
        <f>SUM(AF66:AF71)</f>
        <v>3941414</v>
      </c>
    </row>
    <row r="66" spans="1:32" ht="83.25" hidden="1" customHeight="1">
      <c r="A66" s="273" t="s">
        <v>690</v>
      </c>
      <c r="B66" s="1222" t="s">
        <v>1267</v>
      </c>
      <c r="C66" s="1223"/>
      <c r="D66" s="1220">
        <v>8100</v>
      </c>
      <c r="E66" s="1221"/>
      <c r="F66" s="484">
        <v>138146</v>
      </c>
      <c r="G66" s="488"/>
      <c r="H66" s="489"/>
      <c r="I66" s="473">
        <f>L66</f>
        <v>2331420</v>
      </c>
      <c r="J66" s="473"/>
      <c r="K66" s="473">
        <f>SUM(I66,J66)</f>
        <v>2331420</v>
      </c>
      <c r="L66" s="167">
        <v>2331420</v>
      </c>
      <c r="M66" s="167"/>
      <c r="N66" s="167">
        <f>SUM(L66,M66)</f>
        <v>2331420</v>
      </c>
      <c r="O66" s="405">
        <f>L66</f>
        <v>2331420</v>
      </c>
      <c r="P66" s="405"/>
      <c r="Q66" s="312">
        <f>SUM(O66,P66)</f>
        <v>2331420</v>
      </c>
      <c r="R66" s="28">
        <f t="shared" ref="R66:S71" si="25">O66-L66</f>
        <v>0</v>
      </c>
      <c r="S66" s="28">
        <f t="shared" si="25"/>
        <v>0</v>
      </c>
      <c r="T66" s="29">
        <f t="shared" ref="T66:T71" si="26">SUM(R66:S66)</f>
        <v>0</v>
      </c>
      <c r="AA66" s="27">
        <v>6638484</v>
      </c>
      <c r="AC66" s="27">
        <v>6638484</v>
      </c>
      <c r="AD66" s="27">
        <f t="shared" ref="AD66:AE69" si="27">I66-AA66</f>
        <v>-4307064</v>
      </c>
      <c r="AE66" s="27">
        <f t="shared" si="27"/>
        <v>0</v>
      </c>
      <c r="AF66" s="27">
        <f>SUM(AD66:AE66)</f>
        <v>-4307064</v>
      </c>
    </row>
    <row r="67" spans="1:32" ht="68.25" hidden="1" customHeight="1">
      <c r="A67" s="273" t="s">
        <v>1264</v>
      </c>
      <c r="B67" s="1222" t="s">
        <v>1270</v>
      </c>
      <c r="C67" s="1223"/>
      <c r="D67" s="1220">
        <v>8100</v>
      </c>
      <c r="E67" s="1221"/>
      <c r="F67" s="484" t="s">
        <v>1268</v>
      </c>
      <c r="G67" s="488"/>
      <c r="H67" s="489"/>
      <c r="I67" s="473">
        <f>L67</f>
        <v>1745902</v>
      </c>
      <c r="J67" s="473"/>
      <c r="K67" s="473">
        <f>SUM(I67,J67)</f>
        <v>1745902</v>
      </c>
      <c r="L67" s="167">
        <v>1745902</v>
      </c>
      <c r="M67" s="167"/>
      <c r="N67" s="167">
        <f>SUM(L67,M67)</f>
        <v>1745902</v>
      </c>
      <c r="O67" s="405">
        <f>L67</f>
        <v>1745902</v>
      </c>
      <c r="P67" s="405"/>
      <c r="Q67" s="312">
        <f>SUM(O67,P67)</f>
        <v>1745902</v>
      </c>
      <c r="R67" s="28">
        <f t="shared" si="25"/>
        <v>0</v>
      </c>
      <c r="S67" s="28">
        <f t="shared" si="25"/>
        <v>0</v>
      </c>
      <c r="T67" s="29">
        <f t="shared" si="26"/>
        <v>0</v>
      </c>
      <c r="AA67" s="27">
        <v>6638484</v>
      </c>
      <c r="AC67" s="27">
        <v>6638484</v>
      </c>
      <c r="AD67" s="27">
        <f t="shared" si="27"/>
        <v>-4892582</v>
      </c>
      <c r="AE67" s="27">
        <f t="shared" si="27"/>
        <v>0</v>
      </c>
      <c r="AF67" s="27">
        <f>SUM(AD67:AE67)</f>
        <v>-4892582</v>
      </c>
    </row>
    <row r="68" spans="1:32" ht="60.75" hidden="1" customHeight="1">
      <c r="A68" s="273" t="s">
        <v>1265</v>
      </c>
      <c r="B68" s="1222" t="s">
        <v>1269</v>
      </c>
      <c r="C68" s="1223"/>
      <c r="D68" s="1220">
        <v>8100</v>
      </c>
      <c r="E68" s="1221"/>
      <c r="F68" s="484" t="s">
        <v>1272</v>
      </c>
      <c r="G68" s="488"/>
      <c r="H68" s="489"/>
      <c r="I68" s="473">
        <f>L68</f>
        <v>26017344</v>
      </c>
      <c r="J68" s="473"/>
      <c r="K68" s="473">
        <f>SUM(I68,J68)</f>
        <v>26017344</v>
      </c>
      <c r="L68" s="167">
        <v>26017344</v>
      </c>
      <c r="M68" s="167"/>
      <c r="N68" s="167">
        <f>SUM(L68,M68)</f>
        <v>26017344</v>
      </c>
      <c r="O68" s="405">
        <f>L68</f>
        <v>26017344</v>
      </c>
      <c r="P68" s="405"/>
      <c r="Q68" s="312">
        <f>SUM(O68,P68)</f>
        <v>26017344</v>
      </c>
      <c r="R68" s="28">
        <f t="shared" si="25"/>
        <v>0</v>
      </c>
      <c r="S68" s="28">
        <f t="shared" si="25"/>
        <v>0</v>
      </c>
      <c r="T68" s="29">
        <f t="shared" si="26"/>
        <v>0</v>
      </c>
      <c r="AA68" s="27">
        <v>6638484</v>
      </c>
      <c r="AC68" s="27">
        <v>6638484</v>
      </c>
      <c r="AD68" s="27">
        <f t="shared" si="27"/>
        <v>19378860</v>
      </c>
      <c r="AE68" s="27">
        <f t="shared" si="27"/>
        <v>0</v>
      </c>
      <c r="AF68" s="27">
        <f>SUM(AD68:AE68)</f>
        <v>19378860</v>
      </c>
    </row>
    <row r="69" spans="1:32" ht="57" hidden="1" customHeight="1">
      <c r="A69" s="273" t="s">
        <v>1266</v>
      </c>
      <c r="B69" s="1222" t="s">
        <v>1271</v>
      </c>
      <c r="C69" s="1223"/>
      <c r="D69" s="1220">
        <v>8100</v>
      </c>
      <c r="E69" s="1221"/>
      <c r="F69" s="484" t="s">
        <v>1273</v>
      </c>
      <c r="G69" s="488"/>
      <c r="H69" s="489"/>
      <c r="I69" s="473">
        <f>L69</f>
        <v>412284</v>
      </c>
      <c r="J69" s="473"/>
      <c r="K69" s="473">
        <f>SUM(I69,J69)</f>
        <v>412284</v>
      </c>
      <c r="L69" s="167">
        <v>412284</v>
      </c>
      <c r="M69" s="167"/>
      <c r="N69" s="167">
        <f>SUM(L69,M69)</f>
        <v>412284</v>
      </c>
      <c r="O69" s="405">
        <f>L69</f>
        <v>412284</v>
      </c>
      <c r="P69" s="405"/>
      <c r="Q69" s="312">
        <f>SUM(O69,P69)</f>
        <v>412284</v>
      </c>
      <c r="R69" s="28">
        <f t="shared" si="25"/>
        <v>0</v>
      </c>
      <c r="S69" s="28">
        <f t="shared" si="25"/>
        <v>0</v>
      </c>
      <c r="T69" s="29">
        <f t="shared" si="26"/>
        <v>0</v>
      </c>
      <c r="AA69" s="27">
        <v>6638484</v>
      </c>
      <c r="AC69" s="27">
        <v>6638484</v>
      </c>
      <c r="AD69" s="27">
        <f t="shared" si="27"/>
        <v>-6226200</v>
      </c>
      <c r="AE69" s="27">
        <f t="shared" si="27"/>
        <v>0</v>
      </c>
      <c r="AF69" s="27">
        <f>SUM(AD69:AE69)</f>
        <v>-6226200</v>
      </c>
    </row>
    <row r="70" spans="1:32" ht="59.25" hidden="1" customHeight="1">
      <c r="A70" s="273"/>
      <c r="B70" s="1222" t="s">
        <v>1056</v>
      </c>
      <c r="C70" s="1223"/>
      <c r="D70" s="1220">
        <v>8100</v>
      </c>
      <c r="E70" s="1221"/>
      <c r="F70" s="484" t="s">
        <v>1263</v>
      </c>
      <c r="G70" s="488" t="s">
        <v>1231</v>
      </c>
      <c r="H70" s="489"/>
      <c r="I70" s="473">
        <v>7506972</v>
      </c>
      <c r="J70" s="473"/>
      <c r="K70" s="473">
        <f>SUM(I70,J70)</f>
        <v>7506972</v>
      </c>
      <c r="L70" s="167">
        <f>I70</f>
        <v>7506972</v>
      </c>
      <c r="M70" s="167"/>
      <c r="N70" s="167">
        <f>SUM(L70,M70)</f>
        <v>7506972</v>
      </c>
      <c r="O70" s="405">
        <f>L70</f>
        <v>7506972</v>
      </c>
      <c r="P70" s="405"/>
      <c r="Q70" s="312">
        <f>SUM(O70,P70)</f>
        <v>7506972</v>
      </c>
      <c r="R70" s="28">
        <f t="shared" si="25"/>
        <v>0</v>
      </c>
      <c r="S70" s="28">
        <f t="shared" si="25"/>
        <v>0</v>
      </c>
      <c r="T70" s="29">
        <f t="shared" si="26"/>
        <v>0</v>
      </c>
    </row>
    <row r="71" spans="1:32" ht="38.25" hidden="1" customHeight="1">
      <c r="A71" s="273" t="s">
        <v>685</v>
      </c>
      <c r="B71" s="1218" t="s">
        <v>802</v>
      </c>
      <c r="C71" s="1219"/>
      <c r="D71" s="1220">
        <v>8100</v>
      </c>
      <c r="E71" s="1221"/>
      <c r="F71" s="524" t="s">
        <v>801</v>
      </c>
      <c r="G71" s="488" t="s">
        <v>1055</v>
      </c>
      <c r="H71" s="489">
        <v>1</v>
      </c>
      <c r="I71" s="473">
        <v>10000</v>
      </c>
      <c r="J71" s="473"/>
      <c r="K71" s="473">
        <f>SUM(I71:J71)</f>
        <v>10000</v>
      </c>
      <c r="L71" s="167">
        <v>10000</v>
      </c>
      <c r="M71" s="167"/>
      <c r="N71" s="167">
        <f>SUM(L71:M71)</f>
        <v>10000</v>
      </c>
      <c r="O71" s="405">
        <v>10000</v>
      </c>
      <c r="P71" s="405"/>
      <c r="Q71" s="312">
        <f>SUM(O71:P71)</f>
        <v>10000</v>
      </c>
      <c r="R71" s="28">
        <f t="shared" si="25"/>
        <v>0</v>
      </c>
      <c r="S71" s="28">
        <f t="shared" si="25"/>
        <v>0</v>
      </c>
      <c r="T71" s="29">
        <f t="shared" si="26"/>
        <v>0</v>
      </c>
      <c r="AA71" s="27">
        <v>21600</v>
      </c>
      <c r="AC71" s="27">
        <v>21600</v>
      </c>
      <c r="AD71" s="27">
        <f>I71-AA71</f>
        <v>-11600</v>
      </c>
      <c r="AE71" s="27">
        <f>J71-AB71</f>
        <v>0</v>
      </c>
      <c r="AF71" s="27">
        <f>SUM(AD71:AE71)</f>
        <v>-11600</v>
      </c>
    </row>
    <row r="72" spans="1:32" s="51" customFormat="1" ht="35.1" hidden="1" customHeight="1">
      <c r="A72" s="608"/>
      <c r="B72" s="608"/>
      <c r="C72" s="608"/>
      <c r="D72" s="23"/>
      <c r="E72" s="23"/>
      <c r="F72" s="52"/>
      <c r="G72" s="23"/>
      <c r="H72" s="23"/>
      <c r="I72" s="23"/>
      <c r="J72" s="23"/>
      <c r="K72" s="23"/>
      <c r="L72" s="53"/>
      <c r="M72" s="53"/>
      <c r="N72" s="53"/>
      <c r="O72" s="28"/>
      <c r="P72" s="28"/>
      <c r="Q72" s="312"/>
      <c r="R72" s="28"/>
      <c r="S72" s="28"/>
      <c r="T72" s="29"/>
    </row>
    <row r="73" spans="1:32" s="51" customFormat="1" ht="35.1" hidden="1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322"/>
      <c r="M73" s="54"/>
      <c r="N73" s="54"/>
      <c r="O73" s="28"/>
      <c r="P73" s="28"/>
      <c r="Q73" s="312"/>
      <c r="R73" s="28"/>
      <c r="S73" s="28"/>
      <c r="T73" s="29"/>
    </row>
    <row r="74" spans="1:32" ht="30" hidden="1" customHeight="1">
      <c r="A74" s="352"/>
      <c r="B74" s="605" t="s">
        <v>796</v>
      </c>
      <c r="C74" s="605"/>
      <c r="D74" s="605"/>
      <c r="E74" s="605"/>
      <c r="F74" s="605"/>
      <c r="G74" s="605"/>
      <c r="H74" s="605"/>
      <c r="I74" s="605"/>
      <c r="J74" s="605"/>
      <c r="K74" s="605"/>
      <c r="L74" s="401"/>
      <c r="M74" s="401"/>
      <c r="N74" s="401"/>
      <c r="O74" s="520"/>
      <c r="P74" s="520"/>
      <c r="Q74" s="621"/>
      <c r="R74" s="520"/>
      <c r="S74" s="520"/>
      <c r="T74" s="520"/>
      <c r="U74" s="522"/>
      <c r="V74" s="522"/>
      <c r="W74" s="522"/>
      <c r="X74" s="515"/>
      <c r="Y74" s="515"/>
      <c r="Z74" s="516"/>
      <c r="AA74" s="517"/>
      <c r="AB74" s="518"/>
      <c r="AC74" s="518"/>
      <c r="AD74" s="519"/>
      <c r="AE74" s="519"/>
      <c r="AF74" s="519"/>
    </row>
    <row r="75" spans="1:32" s="500" customFormat="1" ht="87" hidden="1" customHeight="1">
      <c r="A75" s="496" t="s">
        <v>15</v>
      </c>
      <c r="B75" s="1227" t="s">
        <v>15</v>
      </c>
      <c r="C75" s="1228"/>
      <c r="D75" s="1227" t="s">
        <v>440</v>
      </c>
      <c r="E75" s="1228"/>
      <c r="F75" s="497" t="s">
        <v>16</v>
      </c>
      <c r="G75" s="497" t="s">
        <v>178</v>
      </c>
      <c r="H75" s="497" t="s">
        <v>179</v>
      </c>
      <c r="I75" s="497" t="s">
        <v>180</v>
      </c>
      <c r="J75" s="497" t="s">
        <v>181</v>
      </c>
      <c r="K75" s="497" t="s">
        <v>200</v>
      </c>
      <c r="L75" s="496" t="s">
        <v>180</v>
      </c>
      <c r="M75" s="496" t="s">
        <v>181</v>
      </c>
      <c r="N75" s="496" t="s">
        <v>200</v>
      </c>
      <c r="O75" s="498" t="s">
        <v>180</v>
      </c>
      <c r="P75" s="498" t="s">
        <v>181</v>
      </c>
      <c r="Q75" s="622" t="s">
        <v>200</v>
      </c>
      <c r="R75" s="498"/>
      <c r="S75" s="498"/>
      <c r="T75" s="499">
        <f t="shared" ref="T75:T80" si="28">SUM(R75:S75)</f>
        <v>0</v>
      </c>
      <c r="AA75" s="500" t="s">
        <v>180</v>
      </c>
      <c r="AB75" s="500" t="s">
        <v>181</v>
      </c>
      <c r="AC75" s="500" t="s">
        <v>200</v>
      </c>
      <c r="AD75" s="500" t="s">
        <v>180</v>
      </c>
      <c r="AE75" s="500" t="s">
        <v>181</v>
      </c>
      <c r="AF75" s="500" t="s">
        <v>200</v>
      </c>
    </row>
    <row r="76" spans="1:32" s="510" customFormat="1" ht="50.1" hidden="1" customHeight="1">
      <c r="A76" s="501" t="s">
        <v>81</v>
      </c>
      <c r="B76" s="1229" t="s">
        <v>81</v>
      </c>
      <c r="C76" s="1230"/>
      <c r="D76" s="1231"/>
      <c r="E76" s="1232"/>
      <c r="F76" s="504"/>
      <c r="G76" s="504"/>
      <c r="H76" s="504"/>
      <c r="I76" s="545">
        <f>SUM(I77)</f>
        <v>20899696</v>
      </c>
      <c r="J76" s="545">
        <f t="shared" ref="J76:T76" si="29">SUM(J77)</f>
        <v>4149730</v>
      </c>
      <c r="K76" s="545">
        <f t="shared" si="29"/>
        <v>25049426</v>
      </c>
      <c r="L76" s="507">
        <f t="shared" si="29"/>
        <v>20899696</v>
      </c>
      <c r="M76" s="507">
        <f t="shared" si="29"/>
        <v>4149730</v>
      </c>
      <c r="N76" s="507">
        <f t="shared" si="29"/>
        <v>25049426</v>
      </c>
      <c r="O76" s="508">
        <f t="shared" si="29"/>
        <v>20899696</v>
      </c>
      <c r="P76" s="508">
        <f t="shared" si="29"/>
        <v>4149730</v>
      </c>
      <c r="Q76" s="623">
        <f t="shared" si="29"/>
        <v>25049426</v>
      </c>
      <c r="R76" s="508">
        <f t="shared" si="29"/>
        <v>0</v>
      </c>
      <c r="S76" s="508">
        <f t="shared" si="29"/>
        <v>0</v>
      </c>
      <c r="T76" s="509">
        <f t="shared" si="29"/>
        <v>0</v>
      </c>
      <c r="AA76" s="510" t="e">
        <f>SUM(AA77,#REF!)</f>
        <v>#REF!</v>
      </c>
      <c r="AB76" s="510" t="e">
        <f>SUM(AB77,#REF!)</f>
        <v>#REF!</v>
      </c>
      <c r="AC76" s="510" t="e">
        <f>SUM(AC77,#REF!)</f>
        <v>#REF!</v>
      </c>
      <c r="AD76" s="510" t="e">
        <f>SUM(AD77,#REF!)</f>
        <v>#REF!</v>
      </c>
      <c r="AE76" s="510" t="e">
        <f>SUM(AE77,#REF!)</f>
        <v>#REF!</v>
      </c>
      <c r="AF76" s="510" t="e">
        <f>SUM(AF77,#REF!)</f>
        <v>#REF!</v>
      </c>
    </row>
    <row r="77" spans="1:32" s="544" customFormat="1" ht="46.5" hidden="1" customHeight="1">
      <c r="A77" s="538" t="s">
        <v>430</v>
      </c>
      <c r="B77" s="539" t="s">
        <v>708</v>
      </c>
      <c r="C77" s="539"/>
      <c r="D77" s="1216"/>
      <c r="E77" s="1217"/>
      <c r="F77" s="540"/>
      <c r="G77" s="541"/>
      <c r="H77" s="541"/>
      <c r="I77" s="542">
        <f>SUM(I78:I80)</f>
        <v>20899696</v>
      </c>
      <c r="J77" s="542">
        <f>SUM(J78:J80)</f>
        <v>4149730</v>
      </c>
      <c r="K77" s="542">
        <f>SUM(K78:K80)</f>
        <v>25049426</v>
      </c>
      <c r="L77" s="543">
        <f t="shared" ref="L77:T77" si="30">SUM(L78:L80)</f>
        <v>20899696</v>
      </c>
      <c r="M77" s="543">
        <f t="shared" si="30"/>
        <v>4149730</v>
      </c>
      <c r="N77" s="543">
        <f t="shared" si="30"/>
        <v>25049426</v>
      </c>
      <c r="O77" s="544">
        <f t="shared" si="30"/>
        <v>20899696</v>
      </c>
      <c r="P77" s="544">
        <f t="shared" si="30"/>
        <v>4149730</v>
      </c>
      <c r="Q77" s="624">
        <f t="shared" si="30"/>
        <v>25049426</v>
      </c>
      <c r="R77" s="544">
        <f t="shared" si="30"/>
        <v>0</v>
      </c>
      <c r="S77" s="544">
        <f t="shared" si="30"/>
        <v>0</v>
      </c>
      <c r="T77" s="544">
        <f t="shared" si="30"/>
        <v>0</v>
      </c>
      <c r="AA77" s="544">
        <f t="shared" ref="AA77:AF77" si="31">SUM(AA78:AA80)</f>
        <v>21846897</v>
      </c>
      <c r="AB77" s="544">
        <f t="shared" si="31"/>
        <v>3333023</v>
      </c>
      <c r="AC77" s="544">
        <f t="shared" si="31"/>
        <v>25179920</v>
      </c>
      <c r="AD77" s="544">
        <f t="shared" si="31"/>
        <v>-947201</v>
      </c>
      <c r="AE77" s="544">
        <f t="shared" si="31"/>
        <v>816707</v>
      </c>
      <c r="AF77" s="544">
        <f t="shared" si="31"/>
        <v>-130494</v>
      </c>
    </row>
    <row r="78" spans="1:32" ht="38.25" hidden="1" customHeight="1">
      <c r="A78" s="273" t="s">
        <v>463</v>
      </c>
      <c r="B78" s="1218" t="s">
        <v>710</v>
      </c>
      <c r="C78" s="1219"/>
      <c r="D78" s="1220">
        <v>8250</v>
      </c>
      <c r="E78" s="1221"/>
      <c r="F78" s="524" t="s">
        <v>776</v>
      </c>
      <c r="G78" s="1253" t="s">
        <v>770</v>
      </c>
      <c r="H78" s="1253">
        <v>48650</v>
      </c>
      <c r="I78" s="473">
        <f>L78</f>
        <v>14943812</v>
      </c>
      <c r="J78" s="473">
        <v>1663107</v>
      </c>
      <c r="K78" s="473">
        <f>SUM(I78,J78)</f>
        <v>16606919</v>
      </c>
      <c r="L78" s="167">
        <v>14943812</v>
      </c>
      <c r="M78" s="167">
        <f t="shared" ref="L78:M80" si="32">J78</f>
        <v>1663107</v>
      </c>
      <c r="N78" s="167">
        <f>SUM(L78,M78)</f>
        <v>16606919</v>
      </c>
      <c r="O78" s="405">
        <f t="shared" ref="O78:P80" si="33">L78</f>
        <v>14943812</v>
      </c>
      <c r="P78" s="405">
        <f t="shared" si="33"/>
        <v>1663107</v>
      </c>
      <c r="Q78" s="312">
        <f>SUM(O78,P78)</f>
        <v>16606919</v>
      </c>
      <c r="R78" s="28">
        <f t="shared" ref="R78:S80" si="34">O78-L78</f>
        <v>0</v>
      </c>
      <c r="S78" s="28">
        <f t="shared" si="34"/>
        <v>0</v>
      </c>
      <c r="T78" s="29">
        <f t="shared" si="28"/>
        <v>0</v>
      </c>
      <c r="AA78" s="27">
        <f>16373088+1320543</f>
        <v>17693631</v>
      </c>
      <c r="AB78" s="27">
        <v>2760675</v>
      </c>
      <c r="AC78" s="27">
        <f>SUM(AA78,AB78)</f>
        <v>20454306</v>
      </c>
      <c r="AD78" s="27">
        <f t="shared" ref="AD78:AE80" si="35">I78-AA78</f>
        <v>-2749819</v>
      </c>
      <c r="AE78" s="27">
        <f t="shared" si="35"/>
        <v>-1097568</v>
      </c>
      <c r="AF78" s="27">
        <f>SUM(AD78:AE78)</f>
        <v>-3847387</v>
      </c>
    </row>
    <row r="79" spans="1:32" ht="38.25" hidden="1" customHeight="1">
      <c r="A79" s="273" t="s">
        <v>463</v>
      </c>
      <c r="B79" s="1218" t="s">
        <v>710</v>
      </c>
      <c r="C79" s="1219"/>
      <c r="D79" s="1220">
        <v>8280</v>
      </c>
      <c r="E79" s="1221"/>
      <c r="F79" s="524" t="s">
        <v>776</v>
      </c>
      <c r="G79" s="1254"/>
      <c r="H79" s="1254"/>
      <c r="I79" s="473">
        <v>1167742</v>
      </c>
      <c r="J79" s="473">
        <v>0</v>
      </c>
      <c r="K79" s="473">
        <f>SUM(I79,J79)</f>
        <v>1167742</v>
      </c>
      <c r="L79" s="167">
        <f t="shared" si="32"/>
        <v>1167742</v>
      </c>
      <c r="M79" s="167">
        <f t="shared" si="32"/>
        <v>0</v>
      </c>
      <c r="N79" s="167">
        <f>SUM(L79,M79)</f>
        <v>1167742</v>
      </c>
      <c r="O79" s="405">
        <f t="shared" si="33"/>
        <v>1167742</v>
      </c>
      <c r="P79" s="405">
        <f t="shared" si="33"/>
        <v>0</v>
      </c>
      <c r="Q79" s="312">
        <f>SUM(O79,P79)</f>
        <v>1167742</v>
      </c>
      <c r="R79" s="28">
        <f t="shared" si="34"/>
        <v>0</v>
      </c>
      <c r="S79" s="28">
        <f t="shared" si="34"/>
        <v>0</v>
      </c>
      <c r="T79" s="29">
        <f t="shared" si="28"/>
        <v>0</v>
      </c>
      <c r="AA79" s="27">
        <v>893675</v>
      </c>
      <c r="AB79" s="27">
        <v>15704</v>
      </c>
      <c r="AC79" s="27">
        <f>SUM(AA79,AB79)</f>
        <v>909379</v>
      </c>
      <c r="AD79" s="27">
        <f t="shared" si="35"/>
        <v>274067</v>
      </c>
      <c r="AE79" s="27">
        <f t="shared" si="35"/>
        <v>-15704</v>
      </c>
      <c r="AF79" s="27">
        <f>SUM(AD79:AE79)</f>
        <v>258363</v>
      </c>
    </row>
    <row r="80" spans="1:32" ht="38.25" hidden="1" customHeight="1">
      <c r="A80" s="273" t="s">
        <v>463</v>
      </c>
      <c r="B80" s="1218" t="s">
        <v>710</v>
      </c>
      <c r="C80" s="1219"/>
      <c r="D80" s="1220">
        <v>8281</v>
      </c>
      <c r="E80" s="1221"/>
      <c r="F80" s="524" t="s">
        <v>776</v>
      </c>
      <c r="G80" s="1255"/>
      <c r="H80" s="1255"/>
      <c r="I80" s="473">
        <v>4788142</v>
      </c>
      <c r="J80" s="473">
        <v>2486623</v>
      </c>
      <c r="K80" s="473">
        <f>SUM(I80,J80)</f>
        <v>7274765</v>
      </c>
      <c r="L80" s="167">
        <f t="shared" si="32"/>
        <v>4788142</v>
      </c>
      <c r="M80" s="167">
        <f t="shared" si="32"/>
        <v>2486623</v>
      </c>
      <c r="N80" s="167">
        <f>SUM(L80,M80)</f>
        <v>7274765</v>
      </c>
      <c r="O80" s="405">
        <f t="shared" si="33"/>
        <v>4788142</v>
      </c>
      <c r="P80" s="405">
        <f t="shared" si="33"/>
        <v>2486623</v>
      </c>
      <c r="Q80" s="312">
        <f>SUM(O80,P80)</f>
        <v>7274765</v>
      </c>
      <c r="R80" s="28">
        <f t="shared" si="34"/>
        <v>0</v>
      </c>
      <c r="S80" s="28">
        <f t="shared" si="34"/>
        <v>0</v>
      </c>
      <c r="T80" s="29">
        <f t="shared" si="28"/>
        <v>0</v>
      </c>
      <c r="AA80" s="27">
        <f>3259591</f>
        <v>3259591</v>
      </c>
      <c r="AB80" s="27">
        <v>556644</v>
      </c>
      <c r="AC80" s="27">
        <f>SUM(AA80,AB80)</f>
        <v>3816235</v>
      </c>
      <c r="AD80" s="27">
        <f t="shared" si="35"/>
        <v>1528551</v>
      </c>
      <c r="AE80" s="27">
        <f t="shared" si="35"/>
        <v>1929979</v>
      </c>
      <c r="AF80" s="27">
        <f>SUM(AD80:AE80)</f>
        <v>3458530</v>
      </c>
    </row>
    <row r="81" spans="1:20" s="51" customFormat="1" ht="35.1" hidden="1" customHeight="1">
      <c r="A81" s="606"/>
      <c r="B81" s="606"/>
      <c r="C81" s="606"/>
      <c r="D81" s="606"/>
      <c r="E81" s="606"/>
      <c r="F81" s="606"/>
      <c r="G81" s="43"/>
      <c r="H81" s="43"/>
      <c r="I81" s="43"/>
      <c r="J81" s="43"/>
      <c r="K81" s="43"/>
      <c r="L81" s="606"/>
      <c r="M81" s="606"/>
      <c r="N81" s="606"/>
      <c r="O81" s="28"/>
      <c r="P81" s="28"/>
      <c r="Q81" s="312"/>
      <c r="R81" s="28"/>
      <c r="S81" s="28"/>
      <c r="T81" s="29"/>
    </row>
    <row r="82" spans="1:20" s="51" customFormat="1" ht="54.95" hidden="1" customHeight="1">
      <c r="A82" s="606"/>
      <c r="B82" s="606"/>
      <c r="C82" s="606"/>
      <c r="D82" s="606"/>
      <c r="E82" s="606"/>
      <c r="F82" s="606"/>
      <c r="G82" s="43"/>
      <c r="H82" s="43"/>
      <c r="I82" s="43"/>
      <c r="J82" s="43"/>
      <c r="K82" s="43"/>
      <c r="L82" s="606"/>
      <c r="M82" s="606"/>
      <c r="N82" s="606"/>
      <c r="O82" s="28"/>
      <c r="P82" s="28"/>
      <c r="Q82" s="312"/>
      <c r="R82" s="28"/>
      <c r="S82" s="28"/>
      <c r="T82" s="29"/>
    </row>
    <row r="83" spans="1:20" s="51" customFormat="1" ht="30" hidden="1" customHeight="1">
      <c r="A83" s="606"/>
      <c r="B83" s="606"/>
      <c r="C83" s="606"/>
      <c r="D83" s="606"/>
      <c r="E83" s="606"/>
      <c r="F83" s="606"/>
      <c r="G83" s="43"/>
      <c r="H83" s="43"/>
      <c r="I83" s="43"/>
      <c r="J83" s="43"/>
      <c r="K83" s="43"/>
      <c r="L83" s="606"/>
      <c r="M83" s="606"/>
      <c r="N83" s="606"/>
      <c r="O83" s="28"/>
      <c r="P83" s="28"/>
      <c r="Q83" s="312"/>
      <c r="R83" s="28"/>
      <c r="S83" s="28"/>
      <c r="T83" s="29"/>
    </row>
    <row r="84" spans="1:20" s="51" customFormat="1" ht="20.100000000000001" hidden="1" customHeight="1" thickBot="1">
      <c r="A84" s="1242"/>
      <c r="B84" s="1242"/>
      <c r="C84" s="1242"/>
      <c r="D84" s="1242"/>
      <c r="E84" s="1242"/>
      <c r="F84" s="1242"/>
      <c r="G84" s="1242"/>
      <c r="H84" s="1242"/>
      <c r="I84" s="1242"/>
      <c r="J84" s="1242"/>
      <c r="K84" s="1242"/>
      <c r="L84" s="1242"/>
      <c r="M84" s="1242"/>
      <c r="N84" s="1242"/>
      <c r="O84" s="28"/>
      <c r="P84" s="28"/>
      <c r="Q84" s="312"/>
      <c r="R84" s="28"/>
      <c r="S84" s="28"/>
      <c r="T84" s="29"/>
    </row>
    <row r="85" spans="1:20" s="51" customFormat="1" ht="30.75" hidden="1" customHeight="1" thickBot="1">
      <c r="A85" s="41"/>
      <c r="B85" s="41"/>
      <c r="C85" s="1204" t="s">
        <v>51</v>
      </c>
      <c r="D85" s="1204"/>
      <c r="E85" s="1204"/>
      <c r="F85" s="1204"/>
      <c r="G85" s="11"/>
      <c r="H85" s="1243" t="s">
        <v>75</v>
      </c>
      <c r="I85" s="1244"/>
      <c r="J85" s="1244"/>
      <c r="K85" s="1245"/>
      <c r="L85" s="343"/>
      <c r="M85" s="343"/>
      <c r="N85" s="343"/>
      <c r="O85" s="28"/>
      <c r="P85" s="28"/>
      <c r="Q85" s="312"/>
      <c r="R85" s="28"/>
      <c r="S85" s="28"/>
      <c r="T85" s="29"/>
    </row>
    <row r="86" spans="1:20" s="51" customFormat="1" ht="30.75" hidden="1" customHeight="1">
      <c r="A86" s="41"/>
      <c r="B86" s="41"/>
      <c r="C86" s="1204" t="s">
        <v>52</v>
      </c>
      <c r="D86" s="1204"/>
      <c r="E86" s="1204"/>
      <c r="F86" s="1204"/>
      <c r="G86" s="11"/>
      <c r="H86" s="1246" t="s">
        <v>76</v>
      </c>
      <c r="I86" s="1247"/>
      <c r="J86" s="1247"/>
      <c r="K86" s="1248"/>
      <c r="L86" s="343"/>
      <c r="M86" s="343"/>
      <c r="N86" s="343"/>
      <c r="O86" s="28"/>
      <c r="P86" s="28"/>
      <c r="Q86" s="312"/>
      <c r="R86" s="28"/>
      <c r="S86" s="28"/>
      <c r="T86" s="29"/>
    </row>
    <row r="87" spans="1:20" s="51" customFormat="1" ht="30.75" hidden="1" customHeight="1">
      <c r="A87" s="41"/>
      <c r="B87" s="41"/>
      <c r="C87" s="1204" t="s">
        <v>50</v>
      </c>
      <c r="D87" s="1204"/>
      <c r="E87" s="1204"/>
      <c r="F87" s="1204"/>
      <c r="G87" s="44"/>
      <c r="H87" s="1249"/>
      <c r="I87" s="1250"/>
      <c r="J87" s="1250"/>
      <c r="K87" s="1251"/>
      <c r="L87" s="343"/>
      <c r="M87" s="343"/>
      <c r="N87" s="343"/>
      <c r="O87" s="28"/>
      <c r="P87" s="28"/>
      <c r="Q87" s="312"/>
      <c r="R87" s="28"/>
      <c r="S87" s="28"/>
      <c r="T87" s="29"/>
    </row>
    <row r="88" spans="1:20" s="51" customFormat="1" ht="21" hidden="1" customHeight="1">
      <c r="A88" s="41"/>
      <c r="B88" s="41"/>
      <c r="C88" s="1252"/>
      <c r="D88" s="1252"/>
      <c r="E88" s="1252"/>
      <c r="F88" s="1252"/>
      <c r="G88" s="44"/>
      <c r="H88" s="1249"/>
      <c r="I88" s="1250"/>
      <c r="J88" s="1250"/>
      <c r="K88" s="1251"/>
      <c r="L88" s="346"/>
      <c r="M88" s="346"/>
      <c r="N88" s="346"/>
      <c r="O88" s="28"/>
      <c r="P88" s="28"/>
      <c r="Q88" s="312"/>
      <c r="R88" s="28"/>
      <c r="S88" s="28"/>
      <c r="T88" s="29"/>
    </row>
    <row r="89" spans="1:20" s="51" customFormat="1" ht="33" hidden="1" customHeight="1">
      <c r="A89" s="41"/>
      <c r="B89" s="41"/>
      <c r="C89" s="606"/>
      <c r="D89" s="606"/>
      <c r="E89" s="606"/>
      <c r="F89" s="606"/>
      <c r="G89" s="44"/>
      <c r="H89" s="1211" t="s">
        <v>22</v>
      </c>
      <c r="I89" s="1212"/>
      <c r="J89" s="1212"/>
      <c r="K89" s="477">
        <f>K133</f>
        <v>168515382</v>
      </c>
      <c r="L89" s="343"/>
      <c r="M89" s="343"/>
      <c r="N89" s="344"/>
      <c r="O89" s="28">
        <f>N18-N89</f>
        <v>173984653</v>
      </c>
      <c r="P89" s="28"/>
      <c r="Q89" s="312"/>
      <c r="R89" s="28"/>
      <c r="S89" s="28"/>
      <c r="T89" s="29"/>
    </row>
    <row r="90" spans="1:20" s="51" customFormat="1" ht="20.100000000000001" hidden="1" customHeight="1">
      <c r="A90" s="41"/>
      <c r="B90" s="41"/>
      <c r="C90" s="606"/>
      <c r="D90" s="606"/>
      <c r="E90" s="606"/>
      <c r="F90" s="606"/>
      <c r="G90" s="44"/>
      <c r="H90" s="20"/>
      <c r="I90" s="20"/>
      <c r="J90" s="20"/>
      <c r="K90" s="20"/>
      <c r="L90" s="20"/>
      <c r="M90" s="20"/>
      <c r="N90" s="18"/>
      <c r="O90" s="28"/>
      <c r="P90" s="28"/>
      <c r="Q90" s="312"/>
      <c r="R90" s="28"/>
      <c r="S90" s="28"/>
      <c r="T90" s="29"/>
    </row>
    <row r="91" spans="1:20" ht="44.25" hidden="1" customHeight="1">
      <c r="A91" s="346" t="s">
        <v>1057</v>
      </c>
      <c r="B91" s="1226" t="s">
        <v>1037</v>
      </c>
      <c r="C91" s="1226"/>
      <c r="D91" s="1226"/>
      <c r="E91" s="1226"/>
      <c r="F91" s="1226"/>
      <c r="G91" s="1226"/>
      <c r="H91" s="1226"/>
      <c r="I91" s="1226"/>
      <c r="J91" s="1226"/>
      <c r="K91" s="1226"/>
      <c r="L91" s="346"/>
      <c r="M91" s="346"/>
      <c r="N91" s="346"/>
      <c r="O91" s="27"/>
      <c r="P91" s="27"/>
      <c r="Q91" s="620"/>
      <c r="R91" s="27"/>
      <c r="S91" s="27"/>
      <c r="T91" s="27"/>
    </row>
    <row r="92" spans="1:20" ht="20.100000000000001" hidden="1" customHeight="1">
      <c r="A92" s="195"/>
      <c r="B92" s="195"/>
      <c r="C92" s="46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</row>
    <row r="93" spans="1:20" ht="34.5" hidden="1" customHeight="1">
      <c r="A93" s="354"/>
      <c r="B93" s="1226" t="s">
        <v>134</v>
      </c>
      <c r="C93" s="1226"/>
      <c r="D93" s="1226"/>
      <c r="E93" s="1226"/>
      <c r="F93" s="1226"/>
      <c r="G93" s="1226"/>
      <c r="H93" s="1226"/>
      <c r="I93" s="1226"/>
      <c r="J93" s="1226"/>
      <c r="K93" s="1226"/>
      <c r="L93" s="354"/>
      <c r="M93" s="354"/>
      <c r="N93" s="354"/>
    </row>
    <row r="94" spans="1:20" ht="34.5" hidden="1" customHeight="1">
      <c r="A94" s="346"/>
      <c r="B94" s="607"/>
      <c r="C94" s="607"/>
      <c r="D94" s="607"/>
      <c r="E94" s="607"/>
      <c r="F94" s="607"/>
      <c r="G94" s="607"/>
      <c r="H94" s="607"/>
      <c r="I94" s="607"/>
      <c r="J94" s="607"/>
      <c r="K94" s="607"/>
      <c r="L94" s="346"/>
      <c r="M94" s="346"/>
      <c r="N94" s="346"/>
    </row>
    <row r="95" spans="1:20" s="555" customFormat="1" ht="66" hidden="1" customHeight="1">
      <c r="A95" s="549" t="s">
        <v>183</v>
      </c>
      <c r="B95" s="558" t="s">
        <v>183</v>
      </c>
      <c r="C95" s="550" t="s">
        <v>441</v>
      </c>
      <c r="D95" s="551"/>
      <c r="E95" s="551"/>
      <c r="F95" s="552"/>
      <c r="G95" s="556" t="s">
        <v>440</v>
      </c>
      <c r="H95" s="557" t="s">
        <v>16</v>
      </c>
      <c r="I95" s="558" t="s">
        <v>180</v>
      </c>
      <c r="J95" s="558" t="s">
        <v>181</v>
      </c>
      <c r="K95" s="558" t="s">
        <v>200</v>
      </c>
      <c r="L95" s="549" t="s">
        <v>180</v>
      </c>
      <c r="M95" s="549" t="s">
        <v>181</v>
      </c>
      <c r="N95" s="549" t="s">
        <v>200</v>
      </c>
      <c r="O95" s="553"/>
      <c r="P95" s="553"/>
      <c r="Q95" s="625"/>
      <c r="R95" s="553"/>
      <c r="S95" s="553"/>
      <c r="T95" s="554"/>
    </row>
    <row r="96" spans="1:20" s="571" customFormat="1" ht="70.5" hidden="1" customHeight="1">
      <c r="A96" s="564"/>
      <c r="B96" s="565"/>
      <c r="C96" s="1259" t="s">
        <v>1218</v>
      </c>
      <c r="D96" s="1260"/>
      <c r="E96" s="1260"/>
      <c r="F96" s="1261"/>
      <c r="G96" s="566">
        <v>8100</v>
      </c>
      <c r="H96" s="567"/>
      <c r="I96" s="568">
        <f t="shared" ref="I96:N96" si="36">SUM(I97)</f>
        <v>976063</v>
      </c>
      <c r="J96" s="568">
        <f t="shared" si="36"/>
        <v>0</v>
      </c>
      <c r="K96" s="568">
        <f t="shared" si="36"/>
        <v>976063</v>
      </c>
      <c r="L96" s="568">
        <f t="shared" si="36"/>
        <v>976063</v>
      </c>
      <c r="M96" s="568">
        <f t="shared" si="36"/>
        <v>0</v>
      </c>
      <c r="N96" s="568">
        <f t="shared" si="36"/>
        <v>829651</v>
      </c>
      <c r="O96" s="569"/>
      <c r="P96" s="569"/>
      <c r="Q96" s="626"/>
      <c r="R96" s="569"/>
      <c r="S96" s="569"/>
      <c r="T96" s="570"/>
    </row>
    <row r="97" spans="1:20" s="548" customFormat="1" ht="34.5" hidden="1" customHeight="1">
      <c r="A97" s="559" t="s">
        <v>196</v>
      </c>
      <c r="B97" s="560" t="s">
        <v>196</v>
      </c>
      <c r="C97" s="1256" t="s">
        <v>348</v>
      </c>
      <c r="D97" s="1257"/>
      <c r="E97" s="1257"/>
      <c r="F97" s="1258"/>
      <c r="G97" s="561"/>
      <c r="H97" s="562"/>
      <c r="I97" s="563">
        <f>L97</f>
        <v>976063</v>
      </c>
      <c r="J97" s="563">
        <f>M97</f>
        <v>0</v>
      </c>
      <c r="K97" s="563">
        <f>I97+J97</f>
        <v>976063</v>
      </c>
      <c r="L97" s="563">
        <f>L266+L170</f>
        <v>976063</v>
      </c>
      <c r="M97" s="563">
        <f>M266+M170</f>
        <v>0</v>
      </c>
      <c r="N97" s="563">
        <f>N266</f>
        <v>829651</v>
      </c>
      <c r="O97" s="546"/>
      <c r="P97" s="546"/>
      <c r="Q97" s="627"/>
      <c r="R97" s="546"/>
      <c r="S97" s="546"/>
      <c r="T97" s="547"/>
    </row>
    <row r="98" spans="1:20" s="571" customFormat="1" ht="60.75" hidden="1" customHeight="1">
      <c r="A98" s="564"/>
      <c r="B98" s="565"/>
      <c r="C98" s="1259" t="s">
        <v>786</v>
      </c>
      <c r="D98" s="1260"/>
      <c r="E98" s="1260"/>
      <c r="F98" s="1261"/>
      <c r="G98" s="566">
        <v>8100</v>
      </c>
      <c r="H98" s="567"/>
      <c r="I98" s="568">
        <f t="shared" ref="I98:N98" si="37">SUM(I99)</f>
        <v>1426981</v>
      </c>
      <c r="J98" s="568">
        <f t="shared" si="37"/>
        <v>0</v>
      </c>
      <c r="K98" s="568">
        <f t="shared" si="37"/>
        <v>1426981</v>
      </c>
      <c r="L98" s="568">
        <f t="shared" si="37"/>
        <v>1426981</v>
      </c>
      <c r="M98" s="568">
        <f t="shared" si="37"/>
        <v>0</v>
      </c>
      <c r="N98" s="568">
        <f t="shared" si="37"/>
        <v>1150005</v>
      </c>
      <c r="O98" s="569"/>
      <c r="P98" s="569"/>
      <c r="Q98" s="626"/>
      <c r="R98" s="569"/>
      <c r="S98" s="569"/>
      <c r="T98" s="570"/>
    </row>
    <row r="99" spans="1:20" s="548" customFormat="1" ht="34.5" hidden="1" customHeight="1">
      <c r="A99" s="559" t="s">
        <v>2</v>
      </c>
      <c r="B99" s="560" t="s">
        <v>2</v>
      </c>
      <c r="C99" s="1256" t="s">
        <v>347</v>
      </c>
      <c r="D99" s="1257"/>
      <c r="E99" s="1257"/>
      <c r="F99" s="1258"/>
      <c r="G99" s="561"/>
      <c r="H99" s="562"/>
      <c r="I99" s="563">
        <f>L99</f>
        <v>1426981</v>
      </c>
      <c r="J99" s="563">
        <f>M99</f>
        <v>0</v>
      </c>
      <c r="K99" s="563">
        <f>I99+J99</f>
        <v>1426981</v>
      </c>
      <c r="L99" s="563">
        <f>L265+L169</f>
        <v>1426981</v>
      </c>
      <c r="M99" s="563">
        <f>M265+M169</f>
        <v>0</v>
      </c>
      <c r="N99" s="563">
        <f>N265</f>
        <v>1150005</v>
      </c>
      <c r="O99" s="546"/>
      <c r="P99" s="546"/>
      <c r="Q99" s="627"/>
      <c r="R99" s="546"/>
      <c r="S99" s="546"/>
      <c r="T99" s="547"/>
    </row>
    <row r="100" spans="1:20" s="571" customFormat="1" ht="70.5" hidden="1" customHeight="1">
      <c r="A100" s="564"/>
      <c r="B100" s="565"/>
      <c r="C100" s="1259" t="s">
        <v>1257</v>
      </c>
      <c r="D100" s="1260"/>
      <c r="E100" s="1260"/>
      <c r="F100" s="1261"/>
      <c r="G100" s="603" t="s">
        <v>1321</v>
      </c>
      <c r="H100" s="567"/>
      <c r="I100" s="568">
        <f>SUM(I101,I102)</f>
        <v>498000</v>
      </c>
      <c r="J100" s="568">
        <f>SUM(J101,J102)</f>
        <v>0</v>
      </c>
      <c r="K100" s="568">
        <f>SUM(K101,K102)</f>
        <v>498000</v>
      </c>
      <c r="L100" s="568">
        <f>SUM(L101,L102)</f>
        <v>498000</v>
      </c>
      <c r="M100" s="568"/>
      <c r="N100" s="568">
        <f>SUM(N101)</f>
        <v>488520</v>
      </c>
      <c r="O100" s="569"/>
      <c r="P100" s="569"/>
      <c r="Q100" s="626"/>
      <c r="R100" s="569"/>
      <c r="S100" s="569"/>
      <c r="T100" s="570"/>
    </row>
    <row r="101" spans="1:20" s="548" customFormat="1" ht="34.5" hidden="1" customHeight="1">
      <c r="A101" s="559" t="s">
        <v>480</v>
      </c>
      <c r="B101" s="560" t="s">
        <v>480</v>
      </c>
      <c r="C101" s="1256" t="s">
        <v>482</v>
      </c>
      <c r="D101" s="1257"/>
      <c r="E101" s="1257"/>
      <c r="F101" s="1258"/>
      <c r="G101" s="561"/>
      <c r="H101" s="562"/>
      <c r="I101" s="563">
        <f t="shared" ref="I101:N102" si="38">I270</f>
        <v>488520</v>
      </c>
      <c r="J101" s="563">
        <f t="shared" si="38"/>
        <v>0</v>
      </c>
      <c r="K101" s="563">
        <f t="shared" si="38"/>
        <v>488520</v>
      </c>
      <c r="L101" s="563">
        <f t="shared" si="38"/>
        <v>488520</v>
      </c>
      <c r="M101" s="563">
        <f t="shared" si="38"/>
        <v>0</v>
      </c>
      <c r="N101" s="563">
        <f t="shared" si="38"/>
        <v>488520</v>
      </c>
      <c r="O101" s="546"/>
      <c r="P101" s="546"/>
      <c r="Q101" s="627"/>
      <c r="R101" s="546"/>
      <c r="S101" s="546"/>
      <c r="T101" s="547"/>
    </row>
    <row r="102" spans="1:20" s="548" customFormat="1" ht="34.5" hidden="1" customHeight="1">
      <c r="A102" s="559" t="s">
        <v>480</v>
      </c>
      <c r="B102" s="560" t="s">
        <v>533</v>
      </c>
      <c r="C102" s="1256" t="s">
        <v>1255</v>
      </c>
      <c r="D102" s="1257"/>
      <c r="E102" s="1257"/>
      <c r="F102" s="1258"/>
      <c r="G102" s="561"/>
      <c r="H102" s="562"/>
      <c r="I102" s="563">
        <f t="shared" si="38"/>
        <v>9480</v>
      </c>
      <c r="J102" s="563">
        <f t="shared" si="38"/>
        <v>0</v>
      </c>
      <c r="K102" s="563">
        <f t="shared" si="38"/>
        <v>9480</v>
      </c>
      <c r="L102" s="563">
        <f>L271</f>
        <v>9480</v>
      </c>
      <c r="M102" s="563">
        <f>M272</f>
        <v>0</v>
      </c>
      <c r="N102" s="563">
        <f>N272</f>
        <v>0</v>
      </c>
      <c r="O102" s="546"/>
      <c r="P102" s="546"/>
      <c r="Q102" s="627"/>
      <c r="R102" s="546"/>
      <c r="S102" s="546"/>
      <c r="T102" s="547"/>
    </row>
    <row r="103" spans="1:20" s="571" customFormat="1" ht="60.75" hidden="1" customHeight="1">
      <c r="A103" s="564"/>
      <c r="B103" s="565"/>
      <c r="C103" s="1259" t="s">
        <v>1258</v>
      </c>
      <c r="D103" s="1260"/>
      <c r="E103" s="1260"/>
      <c r="F103" s="1261"/>
      <c r="G103" s="566">
        <v>8100</v>
      </c>
      <c r="H103" s="567"/>
      <c r="I103" s="568">
        <f>I104+I105</f>
        <v>9279963</v>
      </c>
      <c r="J103" s="568">
        <f>J104+J105</f>
        <v>0</v>
      </c>
      <c r="K103" s="568">
        <f>I103+J103</f>
        <v>9279963</v>
      </c>
      <c r="L103" s="568">
        <f>L104+L105</f>
        <v>9279963</v>
      </c>
      <c r="M103" s="568">
        <f>P103+M105</f>
        <v>0</v>
      </c>
      <c r="N103" s="568">
        <f>Q103+N105</f>
        <v>9219963</v>
      </c>
      <c r="O103" s="569"/>
      <c r="P103" s="569"/>
      <c r="Q103" s="626"/>
      <c r="R103" s="569"/>
      <c r="S103" s="569"/>
      <c r="T103" s="570"/>
    </row>
    <row r="104" spans="1:20" s="548" customFormat="1" ht="34.5" hidden="1" customHeight="1">
      <c r="A104" s="559" t="s">
        <v>534</v>
      </c>
      <c r="B104" s="560" t="s">
        <v>534</v>
      </c>
      <c r="C104" s="1256" t="s">
        <v>529</v>
      </c>
      <c r="D104" s="1257"/>
      <c r="E104" s="1257"/>
      <c r="F104" s="1258"/>
      <c r="G104" s="561"/>
      <c r="H104" s="562"/>
      <c r="I104" s="563">
        <f t="shared" ref="I104:N104" si="39">I217</f>
        <v>60000</v>
      </c>
      <c r="J104" s="563">
        <f t="shared" si="39"/>
        <v>0</v>
      </c>
      <c r="K104" s="563">
        <f t="shared" si="39"/>
        <v>60000</v>
      </c>
      <c r="L104" s="563">
        <f t="shared" si="39"/>
        <v>60000</v>
      </c>
      <c r="M104" s="563">
        <f t="shared" si="39"/>
        <v>0</v>
      </c>
      <c r="N104" s="563">
        <f t="shared" si="39"/>
        <v>60000</v>
      </c>
      <c r="O104" s="546"/>
      <c r="P104" s="546"/>
      <c r="Q104" s="627"/>
      <c r="R104" s="546"/>
      <c r="S104" s="546"/>
      <c r="T104" s="547"/>
    </row>
    <row r="105" spans="1:20" s="548" customFormat="1" ht="34.5" hidden="1" customHeight="1">
      <c r="A105" s="559" t="s">
        <v>533</v>
      </c>
      <c r="B105" s="560" t="s">
        <v>1323</v>
      </c>
      <c r="C105" s="1256" t="s">
        <v>1324</v>
      </c>
      <c r="D105" s="1257"/>
      <c r="E105" s="1257"/>
      <c r="F105" s="1258"/>
      <c r="G105" s="561"/>
      <c r="H105" s="562"/>
      <c r="I105" s="563">
        <f>L105</f>
        <v>9219963</v>
      </c>
      <c r="J105" s="563">
        <f>M105</f>
        <v>0</v>
      </c>
      <c r="K105" s="563">
        <f>N105</f>
        <v>9219963</v>
      </c>
      <c r="L105" s="563">
        <f>L156</f>
        <v>9219963</v>
      </c>
      <c r="M105" s="563">
        <f>J303</f>
        <v>0</v>
      </c>
      <c r="N105" s="563">
        <f>L105+M105</f>
        <v>9219963</v>
      </c>
      <c r="O105" s="546"/>
      <c r="P105" s="546"/>
      <c r="Q105" s="627"/>
      <c r="R105" s="546"/>
      <c r="S105" s="546"/>
      <c r="T105" s="547"/>
    </row>
    <row r="106" spans="1:20" s="571" customFormat="1" ht="59.25" hidden="1" customHeight="1">
      <c r="A106" s="564"/>
      <c r="B106" s="565"/>
      <c r="C106" s="1259" t="s">
        <v>1259</v>
      </c>
      <c r="D106" s="1260"/>
      <c r="E106" s="1260"/>
      <c r="F106" s="1261"/>
      <c r="G106" s="566">
        <v>8100</v>
      </c>
      <c r="H106" s="567"/>
      <c r="I106" s="568">
        <f t="shared" ref="I106:N106" si="40">SUM(I107:I116)</f>
        <v>88031330</v>
      </c>
      <c r="J106" s="568">
        <f t="shared" si="40"/>
        <v>4887750</v>
      </c>
      <c r="K106" s="568">
        <f t="shared" si="40"/>
        <v>92919080</v>
      </c>
      <c r="L106" s="568">
        <f t="shared" si="40"/>
        <v>88031330</v>
      </c>
      <c r="M106" s="568">
        <f t="shared" si="40"/>
        <v>4887750</v>
      </c>
      <c r="N106" s="568">
        <f t="shared" si="40"/>
        <v>92868876</v>
      </c>
      <c r="O106" s="569">
        <f>L106*30%</f>
        <v>26409399</v>
      </c>
      <c r="P106" s="569"/>
      <c r="Q106" s="626">
        <f>O106-P106</f>
        <v>26409399</v>
      </c>
      <c r="R106" s="569"/>
      <c r="S106" s="569"/>
      <c r="T106" s="570"/>
    </row>
    <row r="107" spans="1:20" s="548" customFormat="1" ht="34.5" hidden="1" customHeight="1">
      <c r="A107" s="559" t="s">
        <v>188</v>
      </c>
      <c r="B107" s="560" t="s">
        <v>188</v>
      </c>
      <c r="C107" s="1256" t="s">
        <v>192</v>
      </c>
      <c r="D107" s="1257"/>
      <c r="E107" s="1257"/>
      <c r="F107" s="1258"/>
      <c r="G107" s="561"/>
      <c r="H107" s="562"/>
      <c r="I107" s="563">
        <f t="shared" ref="I107:I116" si="41">L107</f>
        <v>62997370</v>
      </c>
      <c r="J107" s="563">
        <f>SUM(J151:J154,J160,J158,J167,J175,J185,J189,J207,J214,J223,J227,J230,J236,J244)</f>
        <v>1379439</v>
      </c>
      <c r="K107" s="563">
        <f>SUM(I107:J107)</f>
        <v>64376809</v>
      </c>
      <c r="L107" s="563">
        <f>SUM(L151:L154,L160,L158,L167,L175,L185,L189,L207,L214,L223,L227,L230,L236,L244)</f>
        <v>62997370</v>
      </c>
      <c r="M107" s="563">
        <f>M296</f>
        <v>1379439</v>
      </c>
      <c r="N107" s="563">
        <f>SUM(L107:M107)</f>
        <v>64376809</v>
      </c>
      <c r="O107" s="546"/>
      <c r="P107" s="546">
        <f>L107-I107</f>
        <v>0</v>
      </c>
      <c r="Q107" s="627"/>
      <c r="R107" s="546"/>
      <c r="S107" s="546"/>
      <c r="T107" s="547"/>
    </row>
    <row r="108" spans="1:20" s="548" customFormat="1" ht="34.5" hidden="1" customHeight="1">
      <c r="A108" s="559" t="s">
        <v>202</v>
      </c>
      <c r="B108" s="560" t="s">
        <v>202</v>
      </c>
      <c r="C108" s="1256" t="s">
        <v>189</v>
      </c>
      <c r="D108" s="1257"/>
      <c r="E108" s="1257"/>
      <c r="F108" s="1258"/>
      <c r="G108" s="561"/>
      <c r="H108" s="562"/>
      <c r="I108" s="563">
        <f t="shared" si="41"/>
        <v>6248069</v>
      </c>
      <c r="J108" s="563">
        <f>SUM(J237,J260,J180)</f>
        <v>2038410</v>
      </c>
      <c r="K108" s="563">
        <f t="shared" ref="K108:K116" si="42">SUM(I108:J108)</f>
        <v>8286479</v>
      </c>
      <c r="L108" s="563">
        <f>SUM(L237,L260,L180)</f>
        <v>6248069</v>
      </c>
      <c r="M108" s="563">
        <f>SUM(M237,M260,M180)</f>
        <v>2038410</v>
      </c>
      <c r="N108" s="563">
        <f>SUM(L108:M108)</f>
        <v>8286479</v>
      </c>
      <c r="O108" s="546"/>
      <c r="P108" s="546"/>
      <c r="Q108" s="627"/>
      <c r="R108" s="546"/>
      <c r="S108" s="546"/>
      <c r="T108" s="547"/>
    </row>
    <row r="109" spans="1:20" s="548" customFormat="1" ht="34.5" hidden="1" customHeight="1">
      <c r="A109" s="559" t="s">
        <v>205</v>
      </c>
      <c r="B109" s="560" t="s">
        <v>205</v>
      </c>
      <c r="C109" s="1256" t="s">
        <v>12</v>
      </c>
      <c r="D109" s="1257"/>
      <c r="E109" s="1257"/>
      <c r="F109" s="1258"/>
      <c r="G109" s="561"/>
      <c r="H109" s="562"/>
      <c r="I109" s="563">
        <f t="shared" si="41"/>
        <v>6880423</v>
      </c>
      <c r="J109" s="563">
        <f t="shared" ref="J109:N110" si="43">SUM(J261)</f>
        <v>0</v>
      </c>
      <c r="K109" s="563">
        <f t="shared" si="42"/>
        <v>6880423</v>
      </c>
      <c r="L109" s="563">
        <f>SUM(L261)</f>
        <v>6880423</v>
      </c>
      <c r="M109" s="563">
        <f t="shared" si="43"/>
        <v>0</v>
      </c>
      <c r="N109" s="563">
        <f t="shared" si="43"/>
        <v>6880423</v>
      </c>
      <c r="O109" s="546"/>
      <c r="P109" s="546"/>
      <c r="Q109" s="627"/>
      <c r="R109" s="546"/>
      <c r="S109" s="546"/>
      <c r="T109" s="547"/>
    </row>
    <row r="110" spans="1:20" s="548" customFormat="1" ht="34.5" hidden="1" customHeight="1">
      <c r="A110" s="559" t="s">
        <v>206</v>
      </c>
      <c r="B110" s="560" t="s">
        <v>206</v>
      </c>
      <c r="C110" s="1256" t="s">
        <v>345</v>
      </c>
      <c r="D110" s="1257"/>
      <c r="E110" s="1257"/>
      <c r="F110" s="1258"/>
      <c r="G110" s="561"/>
      <c r="H110" s="562"/>
      <c r="I110" s="563">
        <f t="shared" si="41"/>
        <v>809756</v>
      </c>
      <c r="J110" s="563">
        <f t="shared" si="43"/>
        <v>1162641</v>
      </c>
      <c r="K110" s="563">
        <f t="shared" si="42"/>
        <v>1972397</v>
      </c>
      <c r="L110" s="563">
        <f>SUM(L262)</f>
        <v>809756</v>
      </c>
      <c r="M110" s="563">
        <f t="shared" si="43"/>
        <v>1162641</v>
      </c>
      <c r="N110" s="563">
        <f>SUM(L110:M110)</f>
        <v>1972397</v>
      </c>
      <c r="O110" s="546"/>
      <c r="P110" s="546"/>
      <c r="Q110" s="627"/>
      <c r="R110" s="546"/>
      <c r="S110" s="546"/>
      <c r="T110" s="547"/>
    </row>
    <row r="111" spans="1:20" s="548" customFormat="1" ht="34.5" hidden="1" customHeight="1">
      <c r="A111" s="559" t="s">
        <v>208</v>
      </c>
      <c r="B111" s="560" t="s">
        <v>208</v>
      </c>
      <c r="C111" s="1256" t="s">
        <v>131</v>
      </c>
      <c r="D111" s="1257"/>
      <c r="E111" s="1257"/>
      <c r="F111" s="1258"/>
      <c r="G111" s="561"/>
      <c r="H111" s="562"/>
      <c r="I111" s="563">
        <f t="shared" si="41"/>
        <v>2030000</v>
      </c>
      <c r="J111" s="563">
        <f>J208</f>
        <v>0</v>
      </c>
      <c r="K111" s="563">
        <f>SUM(I111:J111)</f>
        <v>2030000</v>
      </c>
      <c r="L111" s="563">
        <f>L208</f>
        <v>2030000</v>
      </c>
      <c r="M111" s="563">
        <f>M208</f>
        <v>0</v>
      </c>
      <c r="N111" s="563">
        <f>N208</f>
        <v>2030000</v>
      </c>
      <c r="O111" s="546"/>
      <c r="P111" s="546"/>
      <c r="Q111" s="627"/>
      <c r="R111" s="546"/>
      <c r="S111" s="546"/>
      <c r="T111" s="547"/>
    </row>
    <row r="112" spans="1:20" s="548" customFormat="1" ht="34.5" hidden="1" customHeight="1">
      <c r="A112" s="559" t="s">
        <v>1</v>
      </c>
      <c r="B112" s="560" t="s">
        <v>1</v>
      </c>
      <c r="C112" s="1256" t="s">
        <v>346</v>
      </c>
      <c r="D112" s="1257"/>
      <c r="E112" s="1257"/>
      <c r="F112" s="1258"/>
      <c r="G112" s="561"/>
      <c r="H112" s="562"/>
      <c r="I112" s="563">
        <f t="shared" si="41"/>
        <v>2023005</v>
      </c>
      <c r="J112" s="563">
        <f>J190+J215</f>
        <v>0</v>
      </c>
      <c r="K112" s="563">
        <f>SUM(I112:J112)</f>
        <v>2023005</v>
      </c>
      <c r="L112" s="563">
        <f>L190+L215</f>
        <v>2023005</v>
      </c>
      <c r="M112" s="563">
        <f>M190+M215</f>
        <v>0</v>
      </c>
      <c r="N112" s="563">
        <f>SUM(L112:M112)</f>
        <v>2023005</v>
      </c>
      <c r="O112" s="546"/>
      <c r="P112" s="546"/>
      <c r="Q112" s="627"/>
      <c r="R112" s="546"/>
      <c r="S112" s="546"/>
      <c r="T112" s="547"/>
    </row>
    <row r="113" spans="1:20" s="548" customFormat="1" ht="34.5" hidden="1" customHeight="1">
      <c r="A113" s="559" t="s">
        <v>194</v>
      </c>
      <c r="B113" s="560" t="s">
        <v>194</v>
      </c>
      <c r="C113" s="1256" t="s">
        <v>199</v>
      </c>
      <c r="D113" s="1257"/>
      <c r="E113" s="1257"/>
      <c r="F113" s="1258"/>
      <c r="G113" s="561"/>
      <c r="H113" s="562"/>
      <c r="I113" s="563">
        <f t="shared" si="41"/>
        <v>119223</v>
      </c>
      <c r="J113" s="563">
        <f>M113</f>
        <v>0</v>
      </c>
      <c r="K113" s="563">
        <f t="shared" si="42"/>
        <v>119223</v>
      </c>
      <c r="L113" s="563">
        <f>L264</f>
        <v>119223</v>
      </c>
      <c r="M113" s="563">
        <f>M264</f>
        <v>0</v>
      </c>
      <c r="N113" s="563">
        <f>SUM(L113:M113)</f>
        <v>119223</v>
      </c>
      <c r="O113" s="546"/>
      <c r="P113" s="546"/>
      <c r="Q113" s="627"/>
      <c r="R113" s="546"/>
      <c r="S113" s="546"/>
      <c r="T113" s="547"/>
    </row>
    <row r="114" spans="1:20" s="548" customFormat="1" ht="34.5" hidden="1" customHeight="1">
      <c r="A114" s="559" t="s">
        <v>244</v>
      </c>
      <c r="B114" s="560" t="s">
        <v>244</v>
      </c>
      <c r="C114" s="1256" t="s">
        <v>266</v>
      </c>
      <c r="D114" s="1257"/>
      <c r="E114" s="1257"/>
      <c r="F114" s="1258"/>
      <c r="G114" s="561"/>
      <c r="H114" s="562"/>
      <c r="I114" s="563">
        <f t="shared" si="41"/>
        <v>1708178</v>
      </c>
      <c r="J114" s="563">
        <f>SUM(J164,J233,J268)</f>
        <v>307260</v>
      </c>
      <c r="K114" s="563">
        <f t="shared" si="42"/>
        <v>2015438</v>
      </c>
      <c r="L114" s="563">
        <f>SUM(L164,L233,L268)</f>
        <v>1708178</v>
      </c>
      <c r="M114" s="563">
        <f>SUM(M164,M233,M268)</f>
        <v>307260</v>
      </c>
      <c r="N114" s="563">
        <f>SUM(L114:M114)</f>
        <v>2015438</v>
      </c>
      <c r="O114" s="546"/>
      <c r="P114" s="546"/>
      <c r="Q114" s="627"/>
      <c r="R114" s="546"/>
      <c r="S114" s="546">
        <f>1513452-L114</f>
        <v>-194726</v>
      </c>
      <c r="T114" s="547">
        <f>1873452-360000</f>
        <v>1513452</v>
      </c>
    </row>
    <row r="115" spans="1:20" s="548" customFormat="1" ht="34.5" hidden="1" customHeight="1">
      <c r="A115" s="559" t="s">
        <v>9</v>
      </c>
      <c r="B115" s="560" t="s">
        <v>9</v>
      </c>
      <c r="C115" s="1256" t="s">
        <v>270</v>
      </c>
      <c r="D115" s="1257"/>
      <c r="E115" s="1257"/>
      <c r="F115" s="1258"/>
      <c r="G115" s="561"/>
      <c r="H115" s="562"/>
      <c r="I115" s="563">
        <f t="shared" si="41"/>
        <v>4928200</v>
      </c>
      <c r="J115" s="563">
        <f>J192</f>
        <v>0</v>
      </c>
      <c r="K115" s="563">
        <f>SUM(I115:J115)</f>
        <v>4928200</v>
      </c>
      <c r="L115" s="563">
        <f>L192</f>
        <v>4928200</v>
      </c>
      <c r="M115" s="563">
        <f>M192</f>
        <v>0</v>
      </c>
      <c r="N115" s="563">
        <f>N192</f>
        <v>4928200</v>
      </c>
      <c r="O115" s="546"/>
      <c r="P115" s="546"/>
      <c r="Q115" s="627"/>
      <c r="R115" s="546"/>
      <c r="S115" s="546"/>
      <c r="T115" s="547"/>
    </row>
    <row r="116" spans="1:20" s="548" customFormat="1" ht="34.5" hidden="1" customHeight="1">
      <c r="A116" s="559" t="s">
        <v>417</v>
      </c>
      <c r="B116" s="560" t="s">
        <v>417</v>
      </c>
      <c r="C116" s="1256" t="s">
        <v>420</v>
      </c>
      <c r="D116" s="1257"/>
      <c r="E116" s="1257"/>
      <c r="F116" s="1258"/>
      <c r="G116" s="561"/>
      <c r="H116" s="562"/>
      <c r="I116" s="563">
        <f t="shared" si="41"/>
        <v>287106</v>
      </c>
      <c r="J116" s="563">
        <f>J269</f>
        <v>0</v>
      </c>
      <c r="K116" s="563">
        <f t="shared" si="42"/>
        <v>287106</v>
      </c>
      <c r="L116" s="563">
        <f>L269+L172</f>
        <v>287106</v>
      </c>
      <c r="M116" s="563">
        <f>M269</f>
        <v>0</v>
      </c>
      <c r="N116" s="563">
        <f>N269</f>
        <v>236902</v>
      </c>
      <c r="O116" s="546"/>
      <c r="P116" s="546"/>
      <c r="Q116" s="627"/>
      <c r="R116" s="546"/>
      <c r="S116" s="546"/>
      <c r="T116" s="547"/>
    </row>
    <row r="117" spans="1:20" s="571" customFormat="1" ht="34.5" hidden="1" customHeight="1">
      <c r="A117" s="564"/>
      <c r="B117" s="565"/>
      <c r="C117" s="1259" t="s">
        <v>784</v>
      </c>
      <c r="D117" s="1260"/>
      <c r="E117" s="1260"/>
      <c r="F117" s="1261"/>
      <c r="G117" s="566">
        <v>8100</v>
      </c>
      <c r="H117" s="567"/>
      <c r="I117" s="568">
        <f>SUM(I118)</f>
        <v>30729322</v>
      </c>
      <c r="J117" s="568">
        <f>SUM(J118)</f>
        <v>0</v>
      </c>
      <c r="K117" s="568">
        <f>SUM(I117:J117)</f>
        <v>30729322</v>
      </c>
      <c r="L117" s="568">
        <f>SUM(L118)</f>
        <v>30729322</v>
      </c>
      <c r="M117" s="568">
        <f>SUM(M118)</f>
        <v>0</v>
      </c>
      <c r="N117" s="568">
        <f>SUM(L117:M117)</f>
        <v>30729322</v>
      </c>
      <c r="O117" s="569">
        <v>34672046</v>
      </c>
      <c r="P117" s="569">
        <f>N117-O117</f>
        <v>-3942724</v>
      </c>
      <c r="Q117" s="626"/>
      <c r="R117" s="569"/>
      <c r="S117" s="569"/>
      <c r="T117" s="570"/>
    </row>
    <row r="118" spans="1:20" s="548" customFormat="1" ht="34.5" hidden="1" customHeight="1">
      <c r="A118" s="559"/>
      <c r="B118" s="560" t="s">
        <v>745</v>
      </c>
      <c r="C118" s="1256" t="s">
        <v>785</v>
      </c>
      <c r="D118" s="1257"/>
      <c r="E118" s="1257"/>
      <c r="F118" s="1258"/>
      <c r="G118" s="561"/>
      <c r="H118" s="562"/>
      <c r="I118" s="563">
        <f>L118</f>
        <v>30729322</v>
      </c>
      <c r="J118" s="563"/>
      <c r="K118" s="563">
        <f>SUM(K173,K234,K242)</f>
        <v>30729322</v>
      </c>
      <c r="L118" s="563">
        <f>SUM(L173,L234,L242)</f>
        <v>30729322</v>
      </c>
      <c r="M118" s="563"/>
      <c r="N118" s="563">
        <f>SUM(L118:M118)</f>
        <v>30729322</v>
      </c>
      <c r="O118" s="546"/>
      <c r="P118" s="546"/>
      <c r="Q118" s="627"/>
      <c r="R118" s="546"/>
      <c r="S118" s="546"/>
      <c r="T118" s="547"/>
    </row>
    <row r="119" spans="1:20" s="571" customFormat="1" ht="59.25" hidden="1" customHeight="1">
      <c r="A119" s="564"/>
      <c r="B119" s="565"/>
      <c r="C119" s="1259" t="s">
        <v>790</v>
      </c>
      <c r="D119" s="1260"/>
      <c r="E119" s="1260"/>
      <c r="F119" s="1261"/>
      <c r="G119" s="603" t="s">
        <v>1321</v>
      </c>
      <c r="H119" s="567"/>
      <c r="I119" s="568">
        <f t="shared" ref="I119:N119" si="44">SUM(I120:I121)</f>
        <v>26898326</v>
      </c>
      <c r="J119" s="568">
        <f t="shared" si="44"/>
        <v>0</v>
      </c>
      <c r="K119" s="568">
        <f t="shared" si="44"/>
        <v>26898326</v>
      </c>
      <c r="L119" s="568">
        <f t="shared" si="44"/>
        <v>26898326</v>
      </c>
      <c r="M119" s="568">
        <f t="shared" si="44"/>
        <v>0</v>
      </c>
      <c r="N119" s="568">
        <f t="shared" si="44"/>
        <v>26898326</v>
      </c>
      <c r="O119" s="569"/>
      <c r="P119" s="569"/>
      <c r="Q119" s="626"/>
      <c r="R119" s="569"/>
      <c r="S119" s="569"/>
      <c r="T119" s="570"/>
    </row>
    <row r="120" spans="1:20" s="548" customFormat="1" ht="34.5" hidden="1" customHeight="1">
      <c r="A120" s="559" t="s">
        <v>340</v>
      </c>
      <c r="B120" s="560" t="s">
        <v>340</v>
      </c>
      <c r="C120" s="1256" t="s">
        <v>156</v>
      </c>
      <c r="D120" s="1257"/>
      <c r="E120" s="1257"/>
      <c r="F120" s="1258"/>
      <c r="G120" s="561"/>
      <c r="H120" s="562"/>
      <c r="I120" s="563">
        <f>SUM(I163,I182,I220,I209)</f>
        <v>13345601</v>
      </c>
      <c r="J120" s="563">
        <f>SUM(J163,J182,J220,J209)</f>
        <v>0</v>
      </c>
      <c r="K120" s="563">
        <f>I120+J120</f>
        <v>13345601</v>
      </c>
      <c r="L120" s="563">
        <f>SUM(L163,L182,L220,L209)</f>
        <v>13345601</v>
      </c>
      <c r="M120" s="563">
        <f>SUM(M163,M182,M220,M209)</f>
        <v>0</v>
      </c>
      <c r="N120" s="563">
        <f>L120+M120</f>
        <v>13345601</v>
      </c>
      <c r="O120" s="546"/>
      <c r="P120" s="546"/>
      <c r="Q120" s="627"/>
      <c r="R120" s="546"/>
      <c r="S120" s="546"/>
      <c r="T120" s="547"/>
    </row>
    <row r="121" spans="1:20" s="548" customFormat="1" ht="34.5" hidden="1" customHeight="1">
      <c r="A121" s="559"/>
      <c r="B121" s="560" t="s">
        <v>721</v>
      </c>
      <c r="C121" s="1256" t="s">
        <v>727</v>
      </c>
      <c r="D121" s="1257"/>
      <c r="E121" s="1257"/>
      <c r="F121" s="1258"/>
      <c r="G121" s="561"/>
      <c r="H121" s="562"/>
      <c r="I121" s="563">
        <f>SUM(I183,I193,I221,I240,I210)</f>
        <v>13552725</v>
      </c>
      <c r="J121" s="563">
        <f>SUM(J183,J193,J221,J240,J210)</f>
        <v>0</v>
      </c>
      <c r="K121" s="563">
        <f>I121+J121</f>
        <v>13552725</v>
      </c>
      <c r="L121" s="563">
        <f>SUM(L183,L193,L221,L240,L210)</f>
        <v>13552725</v>
      </c>
      <c r="M121" s="563">
        <f>SUM(M183,M193,M221,M240)</f>
        <v>0</v>
      </c>
      <c r="N121" s="563">
        <f>L121+M121</f>
        <v>13552725</v>
      </c>
      <c r="O121" s="546"/>
      <c r="P121" s="546"/>
      <c r="Q121" s="627"/>
      <c r="R121" s="546"/>
      <c r="S121" s="546"/>
      <c r="T121" s="547"/>
    </row>
    <row r="122" spans="1:20" s="571" customFormat="1" ht="64.5" hidden="1" customHeight="1">
      <c r="A122" s="564"/>
      <c r="B122" s="565"/>
      <c r="C122" s="1259" t="s">
        <v>787</v>
      </c>
      <c r="D122" s="1260"/>
      <c r="E122" s="1260"/>
      <c r="F122" s="1261"/>
      <c r="G122" s="566">
        <v>8100</v>
      </c>
      <c r="H122" s="567"/>
      <c r="I122" s="568">
        <f t="shared" ref="I122:N122" si="45">SUM(I123)</f>
        <v>0</v>
      </c>
      <c r="J122" s="568">
        <f t="shared" si="45"/>
        <v>4446290</v>
      </c>
      <c r="K122" s="568">
        <f t="shared" si="45"/>
        <v>4446290</v>
      </c>
      <c r="L122" s="568">
        <f t="shared" si="45"/>
        <v>0</v>
      </c>
      <c r="M122" s="568">
        <f t="shared" si="45"/>
        <v>4446290</v>
      </c>
      <c r="N122" s="568">
        <f t="shared" si="45"/>
        <v>4446290</v>
      </c>
      <c r="O122" s="569">
        <v>24226553</v>
      </c>
      <c r="P122" s="569">
        <f>O122-N122</f>
        <v>19780263</v>
      </c>
      <c r="Q122" s="626"/>
      <c r="R122" s="569"/>
      <c r="S122" s="569"/>
      <c r="T122" s="570"/>
    </row>
    <row r="123" spans="1:20" s="548" customFormat="1" ht="34.5" hidden="1" customHeight="1">
      <c r="A123" s="559" t="s">
        <v>339</v>
      </c>
      <c r="B123" s="560" t="s">
        <v>339</v>
      </c>
      <c r="C123" s="1256" t="s">
        <v>800</v>
      </c>
      <c r="D123" s="1257"/>
      <c r="E123" s="1257"/>
      <c r="F123" s="1258"/>
      <c r="G123" s="561"/>
      <c r="H123" s="562"/>
      <c r="I123" s="563">
        <f>L123</f>
        <v>0</v>
      </c>
      <c r="J123" s="563">
        <f>M123</f>
        <v>4446290</v>
      </c>
      <c r="K123" s="563">
        <f>I123+J123</f>
        <v>4446290</v>
      </c>
      <c r="L123" s="563">
        <f>I155</f>
        <v>0</v>
      </c>
      <c r="M123" s="563">
        <f>J155</f>
        <v>4446290</v>
      </c>
      <c r="N123" s="563">
        <f>L123+M123</f>
        <v>4446290</v>
      </c>
      <c r="O123" s="546"/>
      <c r="P123" s="546"/>
      <c r="Q123" s="627"/>
      <c r="R123" s="546"/>
      <c r="S123" s="546"/>
      <c r="T123" s="547"/>
    </row>
    <row r="124" spans="1:20" s="571" customFormat="1" ht="63" hidden="1" customHeight="1">
      <c r="A124" s="564"/>
      <c r="B124" s="565"/>
      <c r="C124" s="1259" t="s">
        <v>419</v>
      </c>
      <c r="D124" s="1260"/>
      <c r="E124" s="1260"/>
      <c r="F124" s="1261"/>
      <c r="G124" s="566">
        <v>8100</v>
      </c>
      <c r="H124" s="567"/>
      <c r="I124" s="568">
        <f t="shared" ref="I124:N126" si="46">SUM(I125)</f>
        <v>1195302</v>
      </c>
      <c r="J124" s="568">
        <f t="shared" si="46"/>
        <v>0</v>
      </c>
      <c r="K124" s="568">
        <f t="shared" si="46"/>
        <v>1195302</v>
      </c>
      <c r="L124" s="568">
        <f t="shared" si="46"/>
        <v>1195302</v>
      </c>
      <c r="M124" s="568">
        <f t="shared" si="46"/>
        <v>0</v>
      </c>
      <c r="N124" s="568">
        <f t="shared" si="46"/>
        <v>1195302</v>
      </c>
      <c r="O124" s="569">
        <v>1290717</v>
      </c>
      <c r="P124" s="569">
        <f>O124-N124</f>
        <v>95415</v>
      </c>
      <c r="Q124" s="626"/>
      <c r="R124" s="569"/>
      <c r="S124" s="569"/>
      <c r="T124" s="570"/>
    </row>
    <row r="125" spans="1:20" s="548" customFormat="1" ht="34.5" hidden="1" customHeight="1">
      <c r="A125" s="559" t="s">
        <v>193</v>
      </c>
      <c r="B125" s="560" t="s">
        <v>193</v>
      </c>
      <c r="C125" s="1256" t="s">
        <v>198</v>
      </c>
      <c r="D125" s="1257"/>
      <c r="E125" s="1257"/>
      <c r="F125" s="1258"/>
      <c r="G125" s="561"/>
      <c r="H125" s="562"/>
      <c r="I125" s="563">
        <f>SUM(I161,I168,I176,I186,I224,I231,I238,I263)</f>
        <v>1195302</v>
      </c>
      <c r="J125" s="563">
        <f>SUM(J161,J168,J176,J186,J224,J231,J238,J263)</f>
        <v>0</v>
      </c>
      <c r="K125" s="563">
        <f>I125+J125</f>
        <v>1195302</v>
      </c>
      <c r="L125" s="563">
        <f>SUM(L161,L168,L176,L186,L224,L231,L238,L263)</f>
        <v>1195302</v>
      </c>
      <c r="M125" s="563">
        <f>SUM(M161,M168,M176,M186,M224,M231,M238,M263)</f>
        <v>0</v>
      </c>
      <c r="N125" s="563">
        <f>L125+M125</f>
        <v>1195302</v>
      </c>
      <c r="O125" s="546"/>
      <c r="P125" s="546"/>
      <c r="Q125" s="627"/>
      <c r="R125" s="546"/>
      <c r="S125" s="546"/>
      <c r="T125" s="547"/>
    </row>
    <row r="126" spans="1:20" s="571" customFormat="1" ht="34.5" hidden="1" customHeight="1">
      <c r="A126" s="564"/>
      <c r="B126" s="565"/>
      <c r="C126" s="1259" t="s">
        <v>828</v>
      </c>
      <c r="D126" s="1260"/>
      <c r="E126" s="1260"/>
      <c r="F126" s="1261"/>
      <c r="G126" s="566">
        <v>8100</v>
      </c>
      <c r="H126" s="567"/>
      <c r="I126" s="568">
        <f t="shared" si="46"/>
        <v>10000</v>
      </c>
      <c r="J126" s="568">
        <f t="shared" si="46"/>
        <v>0</v>
      </c>
      <c r="K126" s="568">
        <f t="shared" si="46"/>
        <v>10000</v>
      </c>
      <c r="L126" s="568">
        <f t="shared" si="46"/>
        <v>10000</v>
      </c>
      <c r="M126" s="568">
        <f t="shared" si="46"/>
        <v>0</v>
      </c>
      <c r="N126" s="568">
        <f t="shared" si="46"/>
        <v>10000</v>
      </c>
      <c r="O126" s="569"/>
      <c r="P126" s="569"/>
      <c r="Q126" s="626"/>
      <c r="R126" s="569"/>
      <c r="S126" s="569"/>
      <c r="T126" s="570"/>
    </row>
    <row r="127" spans="1:20" s="548" customFormat="1" ht="34.5" hidden="1" customHeight="1">
      <c r="A127" s="559" t="s">
        <v>193</v>
      </c>
      <c r="B127" s="560" t="s">
        <v>832</v>
      </c>
      <c r="C127" s="1256" t="s">
        <v>829</v>
      </c>
      <c r="D127" s="1257"/>
      <c r="E127" s="1257"/>
      <c r="F127" s="1258"/>
      <c r="G127" s="561"/>
      <c r="H127" s="562"/>
      <c r="I127" s="563">
        <f t="shared" ref="I127:N127" si="47">I178</f>
        <v>10000</v>
      </c>
      <c r="J127" s="563">
        <f t="shared" si="47"/>
        <v>0</v>
      </c>
      <c r="K127" s="563">
        <f t="shared" si="47"/>
        <v>10000</v>
      </c>
      <c r="L127" s="563">
        <f t="shared" si="47"/>
        <v>10000</v>
      </c>
      <c r="M127" s="563">
        <f t="shared" si="47"/>
        <v>0</v>
      </c>
      <c r="N127" s="563">
        <f t="shared" si="47"/>
        <v>10000</v>
      </c>
      <c r="O127" s="546"/>
      <c r="P127" s="546"/>
      <c r="Q127" s="627"/>
      <c r="R127" s="546"/>
      <c r="S127" s="546"/>
      <c r="T127" s="547"/>
    </row>
    <row r="128" spans="1:20" s="571" customFormat="1" ht="59.25" hidden="1" customHeight="1">
      <c r="A128" s="564"/>
      <c r="B128" s="565"/>
      <c r="C128" s="1259" t="s">
        <v>907</v>
      </c>
      <c r="D128" s="1260"/>
      <c r="E128" s="1260"/>
      <c r="F128" s="1261"/>
      <c r="G128" s="566">
        <v>8100</v>
      </c>
      <c r="H128" s="567"/>
      <c r="I128" s="568">
        <f t="shared" ref="I128:N130" si="48">SUM(I129)</f>
        <v>132055</v>
      </c>
      <c r="J128" s="568">
        <f t="shared" si="48"/>
        <v>0</v>
      </c>
      <c r="K128" s="568">
        <f t="shared" si="48"/>
        <v>132055</v>
      </c>
      <c r="L128" s="568">
        <f t="shared" si="48"/>
        <v>132055</v>
      </c>
      <c r="M128" s="568">
        <f t="shared" si="48"/>
        <v>0</v>
      </c>
      <c r="N128" s="568">
        <f t="shared" si="48"/>
        <v>132055</v>
      </c>
      <c r="O128" s="569">
        <v>132055</v>
      </c>
      <c r="P128" s="569"/>
      <c r="Q128" s="626"/>
      <c r="R128" s="569"/>
      <c r="S128" s="569"/>
      <c r="T128" s="570"/>
    </row>
    <row r="129" spans="1:20" s="548" customFormat="1" ht="34.5" hidden="1" customHeight="1">
      <c r="A129" s="559" t="s">
        <v>193</v>
      </c>
      <c r="B129" s="560" t="s">
        <v>715</v>
      </c>
      <c r="C129" s="1256" t="s">
        <v>716</v>
      </c>
      <c r="D129" s="1257"/>
      <c r="E129" s="1257"/>
      <c r="F129" s="1258"/>
      <c r="G129" s="561"/>
      <c r="H129" s="562"/>
      <c r="I129" s="563">
        <f>SUM(I165,)</f>
        <v>132055</v>
      </c>
      <c r="J129" s="563">
        <f>SUM(J165,)</f>
        <v>0</v>
      </c>
      <c r="K129" s="563">
        <f>SUM(K165,)</f>
        <v>132055</v>
      </c>
      <c r="L129" s="563">
        <f>SUM(L165)</f>
        <v>132055</v>
      </c>
      <c r="M129" s="563"/>
      <c r="N129" s="563">
        <f>SUM(L129:M129)</f>
        <v>132055</v>
      </c>
      <c r="O129" s="546"/>
      <c r="P129" s="546"/>
      <c r="Q129" s="627"/>
      <c r="R129" s="546"/>
      <c r="S129" s="546"/>
      <c r="T129" s="547"/>
    </row>
    <row r="130" spans="1:20" s="571" customFormat="1" ht="34.5" hidden="1" customHeight="1">
      <c r="A130" s="564"/>
      <c r="B130" s="565"/>
      <c r="C130" s="1259" t="s">
        <v>430</v>
      </c>
      <c r="D130" s="1260"/>
      <c r="E130" s="1260"/>
      <c r="F130" s="1261"/>
      <c r="G130" s="566">
        <v>8100</v>
      </c>
      <c r="H130" s="567"/>
      <c r="I130" s="568">
        <f t="shared" si="48"/>
        <v>4000</v>
      </c>
      <c r="J130" s="568">
        <f t="shared" si="48"/>
        <v>0</v>
      </c>
      <c r="K130" s="568">
        <f t="shared" si="48"/>
        <v>4000</v>
      </c>
      <c r="L130" s="568">
        <f t="shared" si="48"/>
        <v>4000</v>
      </c>
      <c r="M130" s="568">
        <f t="shared" si="48"/>
        <v>0</v>
      </c>
      <c r="N130" s="568">
        <f t="shared" si="48"/>
        <v>4000</v>
      </c>
      <c r="O130" s="569">
        <v>132055</v>
      </c>
      <c r="P130" s="569"/>
      <c r="Q130" s="626"/>
      <c r="R130" s="569"/>
      <c r="S130" s="569"/>
      <c r="T130" s="570"/>
    </row>
    <row r="131" spans="1:20" s="548" customFormat="1" ht="34.5" hidden="1" customHeight="1">
      <c r="A131" s="559" t="s">
        <v>193</v>
      </c>
      <c r="B131" s="560" t="s">
        <v>953</v>
      </c>
      <c r="C131" s="1256" t="s">
        <v>1219</v>
      </c>
      <c r="D131" s="1257"/>
      <c r="E131" s="1257"/>
      <c r="F131" s="1258"/>
      <c r="G131" s="561"/>
      <c r="H131" s="562"/>
      <c r="I131" s="563">
        <f>L131</f>
        <v>4000</v>
      </c>
      <c r="J131" s="563">
        <f>SUM(J167,)</f>
        <v>0</v>
      </c>
      <c r="K131" s="563">
        <f>SUM(I131:J131)</f>
        <v>4000</v>
      </c>
      <c r="L131" s="563">
        <f>L677</f>
        <v>4000</v>
      </c>
      <c r="M131" s="563"/>
      <c r="N131" s="563">
        <f>SUM(L131:M131)</f>
        <v>4000</v>
      </c>
      <c r="O131" s="546"/>
      <c r="P131" s="546"/>
      <c r="Q131" s="627"/>
      <c r="R131" s="546"/>
      <c r="S131" s="546"/>
      <c r="T131" s="547"/>
    </row>
    <row r="132" spans="1:20" s="17" customFormat="1" ht="24.95" hidden="1" customHeight="1">
      <c r="A132" s="56"/>
      <c r="B132" s="328"/>
      <c r="C132" s="217"/>
      <c r="D132" s="217"/>
      <c r="E132" s="217"/>
      <c r="F132" s="217"/>
      <c r="G132" s="218"/>
      <c r="H132" s="218"/>
      <c r="I132" s="370"/>
      <c r="J132" s="370"/>
      <c r="K132" s="371"/>
      <c r="L132" s="219"/>
      <c r="M132" s="219"/>
      <c r="N132" s="329"/>
      <c r="O132" s="81"/>
      <c r="P132" s="81"/>
      <c r="Q132" s="628"/>
      <c r="R132" s="81"/>
      <c r="S132" s="28"/>
      <c r="T132" s="29"/>
    </row>
    <row r="133" spans="1:20" s="472" customFormat="1" ht="45" hidden="1" customHeight="1">
      <c r="A133" s="478" t="s">
        <v>200</v>
      </c>
      <c r="B133" s="1263" t="s">
        <v>200</v>
      </c>
      <c r="C133" s="1264"/>
      <c r="D133" s="1264"/>
      <c r="E133" s="1264"/>
      <c r="F133" s="1264"/>
      <c r="G133" s="1264"/>
      <c r="H133" s="1265"/>
      <c r="I133" s="479">
        <f>SUM(I96,I98,I100,I103,I106,I117,I119,I122,I124,I126,I128,I130)</f>
        <v>159181342</v>
      </c>
      <c r="J133" s="479">
        <f>SUM(J96,J98,J100,J103,J106,J117,J119,J122,J124,J126,J128,J130)</f>
        <v>9334040</v>
      </c>
      <c r="K133" s="479">
        <f>I133+J133</f>
        <v>168515382</v>
      </c>
      <c r="L133" s="480">
        <f>SUM(L96,L98,L100,L103,L106,L117,L119,L122,L124,L126,L128,L130)</f>
        <v>159181342</v>
      </c>
      <c r="M133" s="480">
        <f>SUM(M96,M98,M100,M103,M106,M117,M119,M122,M124,M126,M128,M130)</f>
        <v>9334040</v>
      </c>
      <c r="N133" s="480">
        <f>SUM(N96,N98,N100,N103,N106,N117,N119,N122,N124,N126,N128,N130)</f>
        <v>167972310</v>
      </c>
      <c r="O133" s="470">
        <v>168038472</v>
      </c>
      <c r="P133" s="470">
        <f>N133-O133</f>
        <v>-66162</v>
      </c>
      <c r="Q133" s="622"/>
      <c r="R133" s="470"/>
      <c r="S133" s="470"/>
      <c r="T133" s="471"/>
    </row>
    <row r="134" spans="1:20" s="17" customFormat="1" ht="39.950000000000003" hidden="1" customHeight="1">
      <c r="A134" s="25"/>
      <c r="B134" s="25"/>
      <c r="C134" s="432"/>
      <c r="D134" s="432"/>
      <c r="E134" s="432"/>
      <c r="F134" s="432"/>
      <c r="G134" s="432"/>
      <c r="H134" s="432"/>
      <c r="I134" s="433"/>
      <c r="J134" s="433"/>
      <c r="K134" s="433"/>
      <c r="L134" s="432"/>
      <c r="M134" s="432"/>
      <c r="N134" s="432"/>
      <c r="O134" s="366">
        <f>L133-L273</f>
        <v>9219963</v>
      </c>
      <c r="P134" s="81">
        <f>M133-M273</f>
        <v>0</v>
      </c>
      <c r="Q134" s="628">
        <f>N133-N273</f>
        <v>8676891</v>
      </c>
      <c r="R134" s="81"/>
      <c r="S134" s="28"/>
      <c r="T134" s="29"/>
    </row>
    <row r="135" spans="1:20" s="17" customFormat="1" ht="17.100000000000001" hidden="1" customHeight="1">
      <c r="A135" s="16"/>
      <c r="B135" s="16"/>
      <c r="C135" s="57"/>
      <c r="D135" s="57"/>
      <c r="E135" s="57"/>
      <c r="F135" s="3"/>
      <c r="G135" s="10"/>
      <c r="H135" s="10"/>
      <c r="I135" s="10"/>
      <c r="J135" s="10"/>
      <c r="K135" s="10"/>
      <c r="L135" s="58"/>
      <c r="M135" s="58"/>
      <c r="N135" s="58"/>
      <c r="O135" s="28"/>
      <c r="P135" s="28"/>
      <c r="Q135" s="312"/>
      <c r="R135" s="28"/>
      <c r="S135" s="28"/>
      <c r="T135" s="29"/>
    </row>
    <row r="136" spans="1:20" s="17" customFormat="1" ht="17.100000000000001" hidden="1" customHeight="1" thickBot="1">
      <c r="A136" s="16"/>
      <c r="B136" s="16"/>
      <c r="C136" s="57"/>
      <c r="D136" s="57"/>
      <c r="E136" s="57"/>
      <c r="F136" s="3"/>
      <c r="G136" s="10"/>
      <c r="H136" s="10"/>
      <c r="I136" s="10"/>
      <c r="J136" s="10"/>
      <c r="K136" s="10"/>
      <c r="L136" s="3"/>
      <c r="M136" s="3"/>
      <c r="N136" s="3"/>
      <c r="O136" s="28"/>
      <c r="P136" s="28"/>
      <c r="Q136" s="312"/>
      <c r="R136" s="28"/>
      <c r="S136" s="28"/>
      <c r="T136" s="29"/>
    </row>
    <row r="137" spans="1:20" ht="27" hidden="1" customHeight="1" thickBot="1">
      <c r="A137" s="59"/>
      <c r="B137" s="59"/>
      <c r="C137" s="1204" t="s">
        <v>51</v>
      </c>
      <c r="D137" s="1204"/>
      <c r="E137" s="1204"/>
      <c r="F137" s="1204"/>
      <c r="G137" s="44"/>
      <c r="H137" s="1243" t="s">
        <v>75</v>
      </c>
      <c r="I137" s="1244"/>
      <c r="J137" s="1244"/>
      <c r="K137" s="1245"/>
      <c r="L137" s="348"/>
      <c r="M137" s="348"/>
      <c r="N137" s="348"/>
      <c r="Q137" s="324" t="s">
        <v>736</v>
      </c>
      <c r="R137" s="325" t="s">
        <v>737</v>
      </c>
    </row>
    <row r="138" spans="1:20" s="17" customFormat="1" ht="29.25" hidden="1" customHeight="1" thickBot="1">
      <c r="A138" s="59"/>
      <c r="B138" s="59"/>
      <c r="C138" s="1204" t="s">
        <v>52</v>
      </c>
      <c r="D138" s="1204"/>
      <c r="E138" s="1204"/>
      <c r="F138" s="1204"/>
      <c r="G138" s="44"/>
      <c r="H138" s="1246" t="s">
        <v>76</v>
      </c>
      <c r="I138" s="1247"/>
      <c r="J138" s="1247"/>
      <c r="K138" s="1248"/>
      <c r="L138" s="348"/>
      <c r="M138" s="348"/>
      <c r="N138" s="348"/>
      <c r="O138" s="350" t="s">
        <v>773</v>
      </c>
      <c r="P138" s="323"/>
      <c r="Q138" s="629">
        <v>0.1</v>
      </c>
      <c r="R138" s="327">
        <v>0</v>
      </c>
      <c r="S138" s="28"/>
      <c r="T138" s="29"/>
    </row>
    <row r="139" spans="1:20" s="60" customFormat="1" ht="33" hidden="1" customHeight="1" thickBot="1">
      <c r="A139" s="59"/>
      <c r="B139" s="59"/>
      <c r="C139" s="1204" t="s">
        <v>50</v>
      </c>
      <c r="D139" s="1204"/>
      <c r="E139" s="1204"/>
      <c r="F139" s="1204"/>
      <c r="G139" s="44"/>
      <c r="H139" s="1249"/>
      <c r="I139" s="1250"/>
      <c r="J139" s="1250"/>
      <c r="K139" s="1251"/>
      <c r="L139" s="348"/>
      <c r="M139" s="348"/>
      <c r="N139" s="348"/>
      <c r="O139" s="350" t="s">
        <v>774</v>
      </c>
      <c r="P139" s="323"/>
      <c r="Q139" s="630">
        <v>1</v>
      </c>
      <c r="R139" s="326">
        <f>100%-R138</f>
        <v>1</v>
      </c>
      <c r="S139" s="28"/>
      <c r="T139" s="29"/>
    </row>
    <row r="140" spans="1:20" s="60" customFormat="1" ht="12" hidden="1" customHeight="1">
      <c r="A140" s="59"/>
      <c r="B140" s="59"/>
      <c r="C140" s="1262"/>
      <c r="D140" s="1262"/>
      <c r="E140" s="1262"/>
      <c r="F140" s="1262"/>
      <c r="G140" s="44"/>
      <c r="H140" s="1249"/>
      <c r="I140" s="1250"/>
      <c r="J140" s="1250"/>
      <c r="K140" s="1251"/>
      <c r="L140" s="349"/>
      <c r="M140" s="349"/>
      <c r="N140" s="349"/>
      <c r="O140" s="28"/>
      <c r="P140" s="28"/>
      <c r="Q140" s="312"/>
      <c r="R140" s="28"/>
      <c r="S140" s="28"/>
      <c r="T140" s="29"/>
    </row>
    <row r="141" spans="1:20" s="60" customFormat="1" ht="39" hidden="1" customHeight="1">
      <c r="A141" s="59"/>
      <c r="B141" s="59"/>
      <c r="C141" s="611"/>
      <c r="D141" s="611"/>
      <c r="E141" s="611"/>
      <c r="F141" s="611"/>
      <c r="G141" s="61"/>
      <c r="H141" s="1211" t="s">
        <v>22</v>
      </c>
      <c r="I141" s="1212"/>
      <c r="J141" s="1212"/>
      <c r="K141" s="477">
        <f>K199</f>
        <v>168515382</v>
      </c>
      <c r="L141" s="348"/>
      <c r="M141" s="348"/>
      <c r="N141" s="86"/>
      <c r="O141" s="28"/>
      <c r="P141" s="28"/>
      <c r="Q141" s="312"/>
      <c r="R141" s="28"/>
      <c r="S141" s="28"/>
      <c r="T141" s="29"/>
    </row>
    <row r="142" spans="1:20" ht="10.5" hidden="1" customHeight="1">
      <c r="A142" s="59"/>
      <c r="B142" s="59"/>
      <c r="C142" s="611"/>
      <c r="D142" s="611"/>
      <c r="E142" s="611"/>
      <c r="F142" s="611"/>
      <c r="G142" s="61"/>
      <c r="H142" s="20"/>
      <c r="I142" s="20"/>
      <c r="J142" s="20"/>
      <c r="K142" s="20"/>
      <c r="L142" s="20"/>
      <c r="M142" s="20"/>
      <c r="N142" s="18"/>
    </row>
    <row r="143" spans="1:20" ht="10.5" hidden="1" customHeight="1">
      <c r="A143" s="59"/>
      <c r="B143" s="59"/>
      <c r="C143" s="611"/>
      <c r="D143" s="611"/>
      <c r="E143" s="611"/>
      <c r="F143" s="611"/>
      <c r="G143" s="61"/>
      <c r="H143" s="20"/>
      <c r="I143" s="20"/>
      <c r="J143" s="20"/>
      <c r="K143" s="20"/>
      <c r="L143" s="20"/>
      <c r="M143" s="20"/>
      <c r="N143" s="18"/>
    </row>
    <row r="144" spans="1:20" ht="10.5" hidden="1" customHeight="1">
      <c r="A144" s="59"/>
      <c r="B144" s="59"/>
      <c r="C144" s="611"/>
      <c r="D144" s="611"/>
      <c r="E144" s="611"/>
      <c r="F144" s="611"/>
      <c r="G144" s="61"/>
      <c r="H144" s="20"/>
      <c r="I144" s="20"/>
      <c r="J144" s="20"/>
      <c r="K144" s="20"/>
      <c r="L144" s="20"/>
      <c r="M144" s="20"/>
      <c r="N144" s="18"/>
    </row>
    <row r="145" spans="1:20" ht="29.25" hidden="1" customHeight="1" thickBot="1">
      <c r="A145" s="346" t="s">
        <v>1057</v>
      </c>
      <c r="B145" s="1226" t="s">
        <v>1037</v>
      </c>
      <c r="C145" s="1226"/>
      <c r="D145" s="1226"/>
      <c r="E145" s="1226"/>
      <c r="F145" s="1226"/>
      <c r="G145" s="1226"/>
      <c r="H145" s="1226"/>
      <c r="I145" s="1226"/>
      <c r="J145" s="1226"/>
      <c r="K145" s="1226"/>
      <c r="L145" s="346"/>
      <c r="M145" s="346"/>
      <c r="N145" s="346"/>
      <c r="O145" s="27"/>
      <c r="P145" s="27"/>
      <c r="Q145" s="620"/>
      <c r="R145" s="27"/>
      <c r="S145" s="27"/>
      <c r="T145" s="27"/>
    </row>
    <row r="146" spans="1:20" ht="15" hidden="1" customHeight="1">
      <c r="A146" s="195"/>
      <c r="B146" s="195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210"/>
      <c r="N146" s="195"/>
      <c r="O146" s="1266" t="s">
        <v>775</v>
      </c>
      <c r="P146" s="1267"/>
      <c r="Q146" s="1268"/>
    </row>
    <row r="147" spans="1:20" ht="24.95" hidden="1" customHeight="1" thickBot="1">
      <c r="A147" s="346"/>
      <c r="B147" s="1226" t="s">
        <v>168</v>
      </c>
      <c r="C147" s="1226"/>
      <c r="D147" s="1226"/>
      <c r="E147" s="1226"/>
      <c r="F147" s="1226"/>
      <c r="G147" s="1226"/>
      <c r="H147" s="1226"/>
      <c r="I147" s="1226"/>
      <c r="J147" s="1226"/>
      <c r="K147" s="1226"/>
      <c r="L147" s="346"/>
      <c r="M147" s="346"/>
      <c r="N147" s="347"/>
      <c r="O147" s="1269"/>
      <c r="P147" s="1270"/>
      <c r="Q147" s="1271"/>
    </row>
    <row r="148" spans="1:20" ht="17.100000000000001" hidden="1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</row>
    <row r="149" spans="1:20" s="555" customFormat="1" ht="66" hidden="1" customHeight="1">
      <c r="A149" s="549" t="s">
        <v>183</v>
      </c>
      <c r="B149" s="558" t="s">
        <v>183</v>
      </c>
      <c r="C149" s="550" t="s">
        <v>209</v>
      </c>
      <c r="D149" s="551"/>
      <c r="E149" s="551"/>
      <c r="F149" s="552"/>
      <c r="G149" s="556" t="s">
        <v>440</v>
      </c>
      <c r="H149" s="557" t="s">
        <v>16</v>
      </c>
      <c r="I149" s="558" t="s">
        <v>180</v>
      </c>
      <c r="J149" s="558" t="s">
        <v>181</v>
      </c>
      <c r="K149" s="558" t="s">
        <v>200</v>
      </c>
      <c r="L149" s="549" t="s">
        <v>180</v>
      </c>
      <c r="M149" s="549" t="s">
        <v>181</v>
      </c>
      <c r="N149" s="549" t="s">
        <v>200</v>
      </c>
      <c r="O149" s="553" t="s">
        <v>180</v>
      </c>
      <c r="P149" s="553" t="s">
        <v>181</v>
      </c>
      <c r="Q149" s="625" t="s">
        <v>200</v>
      </c>
      <c r="R149" s="553"/>
      <c r="S149" s="553"/>
      <c r="T149" s="554"/>
    </row>
    <row r="150" spans="1:20" s="571" customFormat="1" ht="34.5" hidden="1" customHeight="1">
      <c r="A150" s="564"/>
      <c r="B150" s="565"/>
      <c r="C150" s="1259" t="s">
        <v>7</v>
      </c>
      <c r="D150" s="1260"/>
      <c r="E150" s="1260"/>
      <c r="F150" s="1261"/>
      <c r="G150" s="566"/>
      <c r="H150" s="567"/>
      <c r="I150" s="568">
        <f>SUM(I151:I156)</f>
        <v>21004545</v>
      </c>
      <c r="J150" s="568">
        <f>SUM(J151:J155)</f>
        <v>5825729</v>
      </c>
      <c r="K150" s="568">
        <f>SUM(K151:K155)</f>
        <v>17610311</v>
      </c>
      <c r="L150" s="568">
        <f>SUM(L151:L155)</f>
        <v>11784582</v>
      </c>
      <c r="M150" s="568">
        <f>SUM(M151:M155)</f>
        <v>5825729</v>
      </c>
      <c r="N150" s="568">
        <f>SUM(N151:N155)</f>
        <v>17610311</v>
      </c>
      <c r="O150" s="569">
        <f>SUM(O151:O156)</f>
        <v>21004545</v>
      </c>
      <c r="P150" s="569">
        <f>SUM(P151:P156)</f>
        <v>5825729</v>
      </c>
      <c r="Q150" s="626">
        <f>SUM(Q151:Q156)</f>
        <v>26830274</v>
      </c>
      <c r="R150" s="569"/>
      <c r="S150" s="569"/>
      <c r="T150" s="570"/>
    </row>
    <row r="151" spans="1:20" s="548" customFormat="1" ht="34.5" hidden="1" customHeight="1">
      <c r="A151" s="559" t="s">
        <v>188</v>
      </c>
      <c r="B151" s="560" t="s">
        <v>188</v>
      </c>
      <c r="C151" s="1256" t="s">
        <v>471</v>
      </c>
      <c r="D151" s="1257"/>
      <c r="E151" s="1257"/>
      <c r="F151" s="1258"/>
      <c r="G151" s="561">
        <v>8100</v>
      </c>
      <c r="H151" s="562">
        <v>108288</v>
      </c>
      <c r="I151" s="563">
        <f t="shared" ref="I151:I156" si="49">L151</f>
        <v>53135</v>
      </c>
      <c r="J151" s="563">
        <f>SUM(J293)</f>
        <v>0</v>
      </c>
      <c r="K151" s="563">
        <f>SUM(I151:J151)</f>
        <v>53135</v>
      </c>
      <c r="L151" s="563">
        <f>SUM(L293)</f>
        <v>53135</v>
      </c>
      <c r="M151" s="563">
        <f>SUM(M293)</f>
        <v>0</v>
      </c>
      <c r="N151" s="563">
        <f t="shared" ref="N151:N156" si="50">L151+M151</f>
        <v>53135</v>
      </c>
      <c r="O151" s="546">
        <f t="shared" ref="O151:O156" si="51">L151*$Q$139</f>
        <v>53135</v>
      </c>
      <c r="P151" s="546">
        <f t="shared" ref="P151:P156" si="52">M151*$R$139</f>
        <v>0</v>
      </c>
      <c r="Q151" s="627">
        <f>SUM(O151:P151)</f>
        <v>53135</v>
      </c>
      <c r="R151" s="546"/>
      <c r="S151" s="546"/>
      <c r="T151" s="547"/>
    </row>
    <row r="152" spans="1:20" s="548" customFormat="1" ht="34.5" hidden="1" customHeight="1">
      <c r="A152" s="559" t="s">
        <v>188</v>
      </c>
      <c r="B152" s="560" t="s">
        <v>188</v>
      </c>
      <c r="C152" s="1256" t="s">
        <v>472</v>
      </c>
      <c r="D152" s="1257"/>
      <c r="E152" s="1257"/>
      <c r="F152" s="1258"/>
      <c r="G152" s="561">
        <v>8100</v>
      </c>
      <c r="H152" s="562">
        <v>108288</v>
      </c>
      <c r="I152" s="563">
        <f t="shared" si="49"/>
        <v>122508</v>
      </c>
      <c r="J152" s="563">
        <f>SUM(J295)</f>
        <v>0</v>
      </c>
      <c r="K152" s="563">
        <f>SUM(I152,J152)</f>
        <v>122508</v>
      </c>
      <c r="L152" s="563">
        <f>SUM(L295)</f>
        <v>122508</v>
      </c>
      <c r="M152" s="563">
        <f>SUM(M295)</f>
        <v>0</v>
      </c>
      <c r="N152" s="563">
        <f t="shared" si="50"/>
        <v>122508</v>
      </c>
      <c r="O152" s="546">
        <f t="shared" si="51"/>
        <v>122508</v>
      </c>
      <c r="P152" s="546">
        <f t="shared" si="52"/>
        <v>0</v>
      </c>
      <c r="Q152" s="627">
        <f>SUM(O152,P152)</f>
        <v>122508</v>
      </c>
      <c r="R152" s="546"/>
      <c r="S152" s="546"/>
      <c r="T152" s="547"/>
    </row>
    <row r="153" spans="1:20" s="548" customFormat="1" ht="34.5" hidden="1" customHeight="1">
      <c r="A153" s="559" t="s">
        <v>188</v>
      </c>
      <c r="B153" s="560" t="s">
        <v>188</v>
      </c>
      <c r="C153" s="1256" t="s">
        <v>473</v>
      </c>
      <c r="D153" s="1257"/>
      <c r="E153" s="1257"/>
      <c r="F153" s="1258"/>
      <c r="G153" s="561">
        <v>8100</v>
      </c>
      <c r="H153" s="562">
        <v>108288</v>
      </c>
      <c r="I153" s="563">
        <f t="shared" si="49"/>
        <v>22925</v>
      </c>
      <c r="J153" s="563">
        <f>SUM(J294)</f>
        <v>0</v>
      </c>
      <c r="K153" s="563">
        <f>SUM(I153,J153)</f>
        <v>22925</v>
      </c>
      <c r="L153" s="563">
        <f>SUM(L294)</f>
        <v>22925</v>
      </c>
      <c r="M153" s="563">
        <f>SUM(M294)</f>
        <v>0</v>
      </c>
      <c r="N153" s="563">
        <f t="shared" si="50"/>
        <v>22925</v>
      </c>
      <c r="O153" s="546">
        <f t="shared" si="51"/>
        <v>22925</v>
      </c>
      <c r="P153" s="546">
        <f t="shared" si="52"/>
        <v>0</v>
      </c>
      <c r="Q153" s="627">
        <f>SUM(O153,P153)</f>
        <v>22925</v>
      </c>
      <c r="R153" s="546"/>
      <c r="S153" s="546"/>
      <c r="T153" s="547"/>
    </row>
    <row r="154" spans="1:20" s="548" customFormat="1" ht="34.5" hidden="1" customHeight="1">
      <c r="A154" s="559" t="s">
        <v>188</v>
      </c>
      <c r="B154" s="560" t="s">
        <v>188</v>
      </c>
      <c r="C154" s="1256" t="s">
        <v>474</v>
      </c>
      <c r="D154" s="1257"/>
      <c r="E154" s="1257"/>
      <c r="F154" s="1258"/>
      <c r="G154" s="561">
        <v>8100</v>
      </c>
      <c r="H154" s="562">
        <v>108288</v>
      </c>
      <c r="I154" s="563">
        <f t="shared" si="49"/>
        <v>11586014</v>
      </c>
      <c r="J154" s="563">
        <f>M154</f>
        <v>1379439</v>
      </c>
      <c r="K154" s="563">
        <f>N154</f>
        <v>12965453</v>
      </c>
      <c r="L154" s="563">
        <f>I296+I297+I299+I298</f>
        <v>11586014</v>
      </c>
      <c r="M154" s="563">
        <f>J296+J297+J299</f>
        <v>1379439</v>
      </c>
      <c r="N154" s="563">
        <f t="shared" si="50"/>
        <v>12965453</v>
      </c>
      <c r="O154" s="546">
        <f t="shared" si="51"/>
        <v>11586014</v>
      </c>
      <c r="P154" s="546">
        <f t="shared" si="52"/>
        <v>1379439</v>
      </c>
      <c r="Q154" s="627">
        <f>SUM(O154,P154)</f>
        <v>12965453</v>
      </c>
      <c r="R154" s="546"/>
      <c r="S154" s="546"/>
      <c r="T154" s="547"/>
    </row>
    <row r="155" spans="1:20" s="548" customFormat="1" ht="34.5" hidden="1" customHeight="1">
      <c r="A155" s="559" t="s">
        <v>339</v>
      </c>
      <c r="B155" s="560" t="s">
        <v>339</v>
      </c>
      <c r="C155" s="1256" t="s">
        <v>457</v>
      </c>
      <c r="D155" s="1257"/>
      <c r="E155" s="1257"/>
      <c r="F155" s="1258"/>
      <c r="G155" s="561">
        <v>8108</v>
      </c>
      <c r="H155" s="562">
        <v>108290</v>
      </c>
      <c r="I155" s="563">
        <f t="shared" si="49"/>
        <v>0</v>
      </c>
      <c r="J155" s="563">
        <f>M155</f>
        <v>4446290</v>
      </c>
      <c r="K155" s="563">
        <f>N155</f>
        <v>4446290</v>
      </c>
      <c r="L155" s="563">
        <f>I300</f>
        <v>0</v>
      </c>
      <c r="M155" s="563">
        <f>J300</f>
        <v>4446290</v>
      </c>
      <c r="N155" s="563">
        <f t="shared" si="50"/>
        <v>4446290</v>
      </c>
      <c r="O155" s="546">
        <f t="shared" si="51"/>
        <v>0</v>
      </c>
      <c r="P155" s="546">
        <f t="shared" si="52"/>
        <v>4446290</v>
      </c>
      <c r="Q155" s="627">
        <f>SUM(O155,P155)</f>
        <v>4446290</v>
      </c>
      <c r="R155" s="546"/>
      <c r="S155" s="546"/>
      <c r="T155" s="547"/>
    </row>
    <row r="156" spans="1:20" s="548" customFormat="1" ht="34.5" hidden="1" customHeight="1">
      <c r="A156" s="559" t="s">
        <v>339</v>
      </c>
      <c r="B156" s="560" t="s">
        <v>1323</v>
      </c>
      <c r="C156" s="1256" t="s">
        <v>1325</v>
      </c>
      <c r="D156" s="1257"/>
      <c r="E156" s="1257"/>
      <c r="F156" s="1258"/>
      <c r="G156" s="561">
        <v>8100</v>
      </c>
      <c r="H156" s="562">
        <v>138153</v>
      </c>
      <c r="I156" s="563">
        <f t="shared" si="49"/>
        <v>9219963</v>
      </c>
      <c r="J156" s="563">
        <f>J302</f>
        <v>0</v>
      </c>
      <c r="K156" s="563">
        <f>N156</f>
        <v>9219963</v>
      </c>
      <c r="L156" s="563">
        <f>L302</f>
        <v>9219963</v>
      </c>
      <c r="M156" s="563">
        <f>M302</f>
        <v>0</v>
      </c>
      <c r="N156" s="563">
        <f t="shared" si="50"/>
        <v>9219963</v>
      </c>
      <c r="O156" s="546">
        <f t="shared" si="51"/>
        <v>9219963</v>
      </c>
      <c r="P156" s="546">
        <f t="shared" si="52"/>
        <v>0</v>
      </c>
      <c r="Q156" s="627">
        <f>SUM(O156,P156)</f>
        <v>9219963</v>
      </c>
      <c r="R156" s="546"/>
      <c r="S156" s="546"/>
      <c r="T156" s="547"/>
    </row>
    <row r="157" spans="1:20" s="571" customFormat="1" ht="34.5" hidden="1" customHeight="1">
      <c r="A157" s="564"/>
      <c r="B157" s="565"/>
      <c r="C157" s="1259" t="s">
        <v>23</v>
      </c>
      <c r="D157" s="1260"/>
      <c r="E157" s="1260"/>
      <c r="F157" s="1261"/>
      <c r="G157" s="566"/>
      <c r="H157" s="567"/>
      <c r="I157" s="568">
        <f>SUM(I158:I158)</f>
        <v>2200000</v>
      </c>
      <c r="J157" s="568">
        <f>SUM(J158:J158)</f>
        <v>0</v>
      </c>
      <c r="K157" s="568">
        <f>SUM(K158:K158)</f>
        <v>2200000</v>
      </c>
      <c r="L157" s="568">
        <f t="shared" ref="L157:Q157" si="53">SUM(L158:L158)</f>
        <v>2200000</v>
      </c>
      <c r="M157" s="568">
        <f t="shared" si="53"/>
        <v>0</v>
      </c>
      <c r="N157" s="568">
        <f t="shared" si="53"/>
        <v>2200000</v>
      </c>
      <c r="O157" s="569">
        <f t="shared" si="53"/>
        <v>2200000</v>
      </c>
      <c r="P157" s="569">
        <f t="shared" si="53"/>
        <v>0</v>
      </c>
      <c r="Q157" s="626">
        <f t="shared" si="53"/>
        <v>2200000</v>
      </c>
      <c r="R157" s="569"/>
      <c r="S157" s="569"/>
      <c r="T157" s="570"/>
    </row>
    <row r="158" spans="1:20" s="548" customFormat="1" ht="34.5" hidden="1" customHeight="1">
      <c r="A158" s="559" t="s">
        <v>188</v>
      </c>
      <c r="B158" s="560" t="s">
        <v>188</v>
      </c>
      <c r="C158" s="1256" t="s">
        <v>8</v>
      </c>
      <c r="D158" s="1257"/>
      <c r="E158" s="1257"/>
      <c r="F158" s="1258"/>
      <c r="G158" s="561">
        <v>8100</v>
      </c>
      <c r="H158" s="562">
        <v>108288</v>
      </c>
      <c r="I158" s="563">
        <f>L158</f>
        <v>2200000</v>
      </c>
      <c r="J158" s="563">
        <f>SUM(J330)</f>
        <v>0</v>
      </c>
      <c r="K158" s="563">
        <f>SUM(I158,J158)</f>
        <v>2200000</v>
      </c>
      <c r="L158" s="563">
        <f>SUM(L330)</f>
        <v>2200000</v>
      </c>
      <c r="M158" s="563"/>
      <c r="N158" s="563">
        <f>L158+M158</f>
        <v>2200000</v>
      </c>
      <c r="O158" s="546">
        <f>L158*$Q$139</f>
        <v>2200000</v>
      </c>
      <c r="P158" s="546">
        <f>M158*$R$139</f>
        <v>0</v>
      </c>
      <c r="Q158" s="627">
        <f>SUM(O158:P158)</f>
        <v>2200000</v>
      </c>
      <c r="R158" s="546"/>
      <c r="S158" s="546"/>
      <c r="T158" s="547"/>
    </row>
    <row r="159" spans="1:20" s="571" customFormat="1" ht="34.5" hidden="1" customHeight="1">
      <c r="A159" s="564"/>
      <c r="B159" s="565"/>
      <c r="C159" s="1259" t="s">
        <v>191</v>
      </c>
      <c r="D159" s="1260"/>
      <c r="E159" s="1260"/>
      <c r="F159" s="1261"/>
      <c r="G159" s="566"/>
      <c r="H159" s="567"/>
      <c r="I159" s="568">
        <f t="shared" ref="I159:Q159" si="54">SUM(I160:I165)</f>
        <v>8230623</v>
      </c>
      <c r="J159" s="568">
        <f t="shared" si="54"/>
        <v>0</v>
      </c>
      <c r="K159" s="568">
        <f t="shared" si="54"/>
        <v>8230623</v>
      </c>
      <c r="L159" s="568">
        <f t="shared" si="54"/>
        <v>8230623</v>
      </c>
      <c r="M159" s="568">
        <f t="shared" si="54"/>
        <v>0</v>
      </c>
      <c r="N159" s="568">
        <f t="shared" si="54"/>
        <v>8230623</v>
      </c>
      <c r="O159" s="569">
        <f t="shared" si="54"/>
        <v>8230623</v>
      </c>
      <c r="P159" s="569">
        <f t="shared" si="54"/>
        <v>0</v>
      </c>
      <c r="Q159" s="626">
        <f t="shared" si="54"/>
        <v>8230623</v>
      </c>
      <c r="R159" s="569"/>
      <c r="S159" s="569"/>
      <c r="T159" s="570"/>
    </row>
    <row r="160" spans="1:20" s="548" customFormat="1" ht="34.5" hidden="1" customHeight="1">
      <c r="A160" s="559" t="s">
        <v>188</v>
      </c>
      <c r="B160" s="560" t="s">
        <v>188</v>
      </c>
      <c r="C160" s="1256" t="s">
        <v>8</v>
      </c>
      <c r="D160" s="1257"/>
      <c r="E160" s="1257"/>
      <c r="F160" s="1258"/>
      <c r="G160" s="561">
        <v>8100</v>
      </c>
      <c r="H160" s="562">
        <v>108288</v>
      </c>
      <c r="I160" s="563">
        <f>L160</f>
        <v>7615938</v>
      </c>
      <c r="J160" s="563">
        <f>M160</f>
        <v>0</v>
      </c>
      <c r="K160" s="563">
        <f>SUM(I160,J160)</f>
        <v>7615938</v>
      </c>
      <c r="L160" s="563">
        <f>SUM(L371)</f>
        <v>7615938</v>
      </c>
      <c r="M160" s="563">
        <f>SUM(M371)</f>
        <v>0</v>
      </c>
      <c r="N160" s="563">
        <f>L160+M160</f>
        <v>7615938</v>
      </c>
      <c r="O160" s="546">
        <f t="shared" ref="O160:O165" si="55">L160*$Q$139</f>
        <v>7615938</v>
      </c>
      <c r="P160" s="546">
        <f t="shared" ref="P160:P165" si="56">M160*$R$139</f>
        <v>0</v>
      </c>
      <c r="Q160" s="627">
        <f t="shared" ref="Q160:Q165" si="57">SUM(O160:P160)</f>
        <v>7615938</v>
      </c>
      <c r="R160" s="546"/>
      <c r="S160" s="546"/>
      <c r="T160" s="547"/>
    </row>
    <row r="161" spans="1:20" s="548" customFormat="1" ht="34.5" hidden="1" customHeight="1">
      <c r="A161" s="559" t="s">
        <v>193</v>
      </c>
      <c r="B161" s="560" t="s">
        <v>193</v>
      </c>
      <c r="C161" s="1256" t="s">
        <v>341</v>
      </c>
      <c r="D161" s="1257"/>
      <c r="E161" s="1257"/>
      <c r="F161" s="1258"/>
      <c r="G161" s="561">
        <v>8100</v>
      </c>
      <c r="H161" s="562" t="s">
        <v>686</v>
      </c>
      <c r="I161" s="563">
        <f>L161</f>
        <v>120000</v>
      </c>
      <c r="J161" s="563">
        <f>M161</f>
        <v>0</v>
      </c>
      <c r="K161" s="563">
        <f>SUM(I161,J161)</f>
        <v>120000</v>
      </c>
      <c r="L161" s="563">
        <f>SUM(L388)</f>
        <v>120000</v>
      </c>
      <c r="M161" s="563">
        <f>SUM(M388)</f>
        <v>0</v>
      </c>
      <c r="N161" s="563">
        <f>L161+M161</f>
        <v>120000</v>
      </c>
      <c r="O161" s="546">
        <f t="shared" si="55"/>
        <v>120000</v>
      </c>
      <c r="P161" s="546">
        <f t="shared" si="56"/>
        <v>0</v>
      </c>
      <c r="Q161" s="627">
        <f t="shared" si="57"/>
        <v>120000</v>
      </c>
      <c r="R161" s="546"/>
      <c r="S161" s="546"/>
      <c r="T161" s="547"/>
    </row>
    <row r="162" spans="1:20" s="51" customFormat="1" ht="28.5" hidden="1" customHeight="1">
      <c r="A162" s="160" t="s">
        <v>207</v>
      </c>
      <c r="B162" s="220" t="s">
        <v>339</v>
      </c>
      <c r="C162" s="1272" t="s">
        <v>457</v>
      </c>
      <c r="D162" s="1273"/>
      <c r="E162" s="1273"/>
      <c r="F162" s="1274"/>
      <c r="G162" s="561">
        <v>8100</v>
      </c>
      <c r="H162" s="457">
        <v>108290</v>
      </c>
      <c r="I162" s="409">
        <f>L162</f>
        <v>0</v>
      </c>
      <c r="J162" s="372">
        <f>SUM(J390)</f>
        <v>0</v>
      </c>
      <c r="K162" s="373">
        <f>SUM(I162,J162)</f>
        <v>0</v>
      </c>
      <c r="L162" s="372"/>
      <c r="M162" s="372">
        <f>SUM(M390)</f>
        <v>0</v>
      </c>
      <c r="N162" s="373">
        <f>SUM(L162,M162)</f>
        <v>0</v>
      </c>
      <c r="O162" s="36">
        <f>L162*$Q$139</f>
        <v>0</v>
      </c>
      <c r="P162" s="36">
        <f>M162*$R$139</f>
        <v>0</v>
      </c>
      <c r="Q162" s="631">
        <f>SUM(O162:P162)</f>
        <v>0</v>
      </c>
      <c r="R162" s="28"/>
      <c r="S162" s="28"/>
      <c r="T162" s="29"/>
    </row>
    <row r="163" spans="1:20" s="17" customFormat="1" ht="28.5" hidden="1" customHeight="1">
      <c r="A163" s="162" t="s">
        <v>340</v>
      </c>
      <c r="B163" s="223" t="s">
        <v>340</v>
      </c>
      <c r="C163" s="1272" t="s">
        <v>157</v>
      </c>
      <c r="D163" s="1273"/>
      <c r="E163" s="1273"/>
      <c r="F163" s="1274"/>
      <c r="G163" s="561">
        <v>8100</v>
      </c>
      <c r="H163" s="458" t="s">
        <v>788</v>
      </c>
      <c r="I163" s="409">
        <f>L163</f>
        <v>0</v>
      </c>
      <c r="J163" s="375"/>
      <c r="K163" s="376">
        <f>SUM(I163,J163)</f>
        <v>0</v>
      </c>
      <c r="L163" s="375"/>
      <c r="M163" s="375"/>
      <c r="N163" s="376">
        <f>SUM(L163,M163)</f>
        <v>0</v>
      </c>
      <c r="O163" s="36">
        <f t="shared" si="55"/>
        <v>0</v>
      </c>
      <c r="P163" s="36">
        <f t="shared" si="56"/>
        <v>0</v>
      </c>
      <c r="Q163" s="631">
        <f t="shared" si="57"/>
        <v>0</v>
      </c>
      <c r="R163" s="28"/>
      <c r="S163" s="28"/>
      <c r="T163" s="29"/>
    </row>
    <row r="164" spans="1:20" s="548" customFormat="1" ht="34.5" hidden="1" customHeight="1">
      <c r="A164" s="559" t="s">
        <v>244</v>
      </c>
      <c r="B164" s="560" t="s">
        <v>244</v>
      </c>
      <c r="C164" s="1256" t="s">
        <v>33</v>
      </c>
      <c r="D164" s="1257"/>
      <c r="E164" s="1257"/>
      <c r="F164" s="1258"/>
      <c r="G164" s="561">
        <v>8100</v>
      </c>
      <c r="H164" s="562">
        <v>108288</v>
      </c>
      <c r="I164" s="563">
        <f>L164</f>
        <v>362630</v>
      </c>
      <c r="J164" s="563">
        <f>J394</f>
        <v>0</v>
      </c>
      <c r="K164" s="563">
        <f>K394</f>
        <v>362630</v>
      </c>
      <c r="L164" s="563">
        <f>L394</f>
        <v>362630</v>
      </c>
      <c r="M164" s="563">
        <f>M394</f>
        <v>0</v>
      </c>
      <c r="N164" s="563">
        <f>L164+M164</f>
        <v>362630</v>
      </c>
      <c r="O164" s="546">
        <f t="shared" si="55"/>
        <v>362630</v>
      </c>
      <c r="P164" s="546">
        <f t="shared" si="56"/>
        <v>0</v>
      </c>
      <c r="Q164" s="627">
        <f>SUM(O164:P164)</f>
        <v>362630</v>
      </c>
      <c r="R164" s="546"/>
      <c r="S164" s="546"/>
      <c r="T164" s="547"/>
    </row>
    <row r="165" spans="1:20" s="548" customFormat="1" ht="34.5" hidden="1" customHeight="1">
      <c r="A165" s="559" t="s">
        <v>244</v>
      </c>
      <c r="B165" s="560" t="s">
        <v>715</v>
      </c>
      <c r="C165" s="1256" t="s">
        <v>717</v>
      </c>
      <c r="D165" s="1257"/>
      <c r="E165" s="1257"/>
      <c r="F165" s="1258"/>
      <c r="G165" s="561">
        <v>8100</v>
      </c>
      <c r="H165" s="562">
        <v>138151</v>
      </c>
      <c r="I165" s="563">
        <f>L165</f>
        <v>132055</v>
      </c>
      <c r="J165" s="563">
        <f>J397</f>
        <v>0</v>
      </c>
      <c r="K165" s="563">
        <f>K397</f>
        <v>132055</v>
      </c>
      <c r="L165" s="563">
        <f>L397</f>
        <v>132055</v>
      </c>
      <c r="M165" s="563">
        <f>M397</f>
        <v>0</v>
      </c>
      <c r="N165" s="563">
        <f>L165+M165</f>
        <v>132055</v>
      </c>
      <c r="O165" s="546">
        <f t="shared" si="55"/>
        <v>132055</v>
      </c>
      <c r="P165" s="546">
        <f t="shared" si="56"/>
        <v>0</v>
      </c>
      <c r="Q165" s="627">
        <f t="shared" si="57"/>
        <v>132055</v>
      </c>
      <c r="R165" s="546"/>
      <c r="S165" s="546"/>
      <c r="T165" s="547"/>
    </row>
    <row r="166" spans="1:20" s="571" customFormat="1" ht="34.5" hidden="1" customHeight="1">
      <c r="A166" s="564"/>
      <c r="B166" s="565"/>
      <c r="C166" s="1259" t="s">
        <v>64</v>
      </c>
      <c r="D166" s="1260"/>
      <c r="E166" s="1260"/>
      <c r="F166" s="1261"/>
      <c r="G166" s="566"/>
      <c r="H166" s="567"/>
      <c r="I166" s="568">
        <f>SUM(I167:I173)</f>
        <v>67053789</v>
      </c>
      <c r="J166" s="568">
        <f>SUM(J167:J173)</f>
        <v>0</v>
      </c>
      <c r="K166" s="568">
        <f>SUM(K167:K173)</f>
        <v>67053789</v>
      </c>
      <c r="L166" s="568">
        <f t="shared" ref="L166:Q166" si="58">SUM(L167:L173)</f>
        <v>67053789</v>
      </c>
      <c r="M166" s="568">
        <f t="shared" si="58"/>
        <v>0</v>
      </c>
      <c r="N166" s="568">
        <f t="shared" si="58"/>
        <v>67053789</v>
      </c>
      <c r="O166" s="569">
        <f t="shared" si="58"/>
        <v>67053789</v>
      </c>
      <c r="P166" s="569">
        <f t="shared" si="58"/>
        <v>0</v>
      </c>
      <c r="Q166" s="626">
        <f t="shared" si="58"/>
        <v>67053789</v>
      </c>
      <c r="R166" s="569"/>
      <c r="S166" s="569"/>
      <c r="T166" s="570"/>
    </row>
    <row r="167" spans="1:20" s="548" customFormat="1" ht="34.5" hidden="1" customHeight="1">
      <c r="A167" s="559" t="s">
        <v>188</v>
      </c>
      <c r="B167" s="560" t="s">
        <v>188</v>
      </c>
      <c r="C167" s="1256" t="s">
        <v>8</v>
      </c>
      <c r="D167" s="1257"/>
      <c r="E167" s="1257"/>
      <c r="F167" s="1258"/>
      <c r="G167" s="561">
        <v>8100</v>
      </c>
      <c r="H167" s="562">
        <v>108288</v>
      </c>
      <c r="I167" s="563">
        <f t="shared" ref="I167:I173" si="59">L167</f>
        <v>38103558</v>
      </c>
      <c r="J167" s="563">
        <f>SUM(J415)</f>
        <v>0</v>
      </c>
      <c r="K167" s="563">
        <f>SUM(I167,J167)</f>
        <v>38103558</v>
      </c>
      <c r="L167" s="563">
        <f>SUM(L415)</f>
        <v>38103558</v>
      </c>
      <c r="M167" s="563">
        <f>SUM(M415)</f>
        <v>0</v>
      </c>
      <c r="N167" s="563">
        <f>L167+M167</f>
        <v>38103558</v>
      </c>
      <c r="O167" s="546">
        <f t="shared" ref="O167:O173" si="60">L167*$Q$139</f>
        <v>38103558</v>
      </c>
      <c r="P167" s="546">
        <f t="shared" ref="P167:P173" si="61">M167*$R$139</f>
        <v>0</v>
      </c>
      <c r="Q167" s="627">
        <f t="shared" ref="Q167:Q173" si="62">SUM(O167:P167)</f>
        <v>38103558</v>
      </c>
      <c r="R167" s="546"/>
      <c r="S167" s="546"/>
      <c r="T167" s="547"/>
    </row>
    <row r="168" spans="1:20" s="548" customFormat="1" ht="34.5" hidden="1" customHeight="1">
      <c r="A168" s="559" t="s">
        <v>193</v>
      </c>
      <c r="B168" s="560" t="s">
        <v>193</v>
      </c>
      <c r="C168" s="1256" t="s">
        <v>341</v>
      </c>
      <c r="D168" s="1257"/>
      <c r="E168" s="1257"/>
      <c r="F168" s="1258"/>
      <c r="G168" s="561">
        <v>8100</v>
      </c>
      <c r="H168" s="562" t="s">
        <v>686</v>
      </c>
      <c r="I168" s="563">
        <f t="shared" si="59"/>
        <v>30000</v>
      </c>
      <c r="J168" s="563">
        <f>SUM(J436)</f>
        <v>0</v>
      </c>
      <c r="K168" s="563">
        <f t="shared" ref="K168:K173" si="63">SUM(I168,J168)</f>
        <v>30000</v>
      </c>
      <c r="L168" s="563">
        <f>SUM(L436)</f>
        <v>30000</v>
      </c>
      <c r="M168" s="563">
        <f>SUM(M436)</f>
        <v>0</v>
      </c>
      <c r="N168" s="563">
        <f>L168+M168</f>
        <v>30000</v>
      </c>
      <c r="O168" s="546">
        <f t="shared" si="60"/>
        <v>30000</v>
      </c>
      <c r="P168" s="546">
        <f t="shared" si="61"/>
        <v>0</v>
      </c>
      <c r="Q168" s="627">
        <f t="shared" si="62"/>
        <v>30000</v>
      </c>
      <c r="R168" s="546"/>
      <c r="S168" s="546"/>
      <c r="T168" s="547"/>
    </row>
    <row r="169" spans="1:20" s="548" customFormat="1" ht="34.5" hidden="1" customHeight="1">
      <c r="A169" s="559" t="s">
        <v>2</v>
      </c>
      <c r="B169" s="560" t="s">
        <v>2</v>
      </c>
      <c r="C169" s="1256" t="s">
        <v>344</v>
      </c>
      <c r="D169" s="1257"/>
      <c r="E169" s="1257"/>
      <c r="F169" s="1258"/>
      <c r="G169" s="561">
        <v>8100</v>
      </c>
      <c r="H169" s="562" t="s">
        <v>781</v>
      </c>
      <c r="I169" s="563">
        <f t="shared" si="59"/>
        <v>276976</v>
      </c>
      <c r="J169" s="563">
        <f>J440</f>
        <v>0</v>
      </c>
      <c r="K169" s="563">
        <f t="shared" si="63"/>
        <v>276976</v>
      </c>
      <c r="L169" s="563">
        <f>L440</f>
        <v>276976</v>
      </c>
      <c r="M169" s="563">
        <f>M440</f>
        <v>0</v>
      </c>
      <c r="N169" s="563">
        <f>L169+M169</f>
        <v>276976</v>
      </c>
      <c r="O169" s="546">
        <f t="shared" si="60"/>
        <v>276976</v>
      </c>
      <c r="P169" s="546">
        <f t="shared" si="61"/>
        <v>0</v>
      </c>
      <c r="Q169" s="627">
        <f t="shared" si="62"/>
        <v>276976</v>
      </c>
      <c r="R169" s="546"/>
      <c r="S169" s="546"/>
      <c r="T169" s="547"/>
    </row>
    <row r="170" spans="1:20" s="548" customFormat="1" ht="34.5" hidden="1" customHeight="1">
      <c r="A170" s="559" t="s">
        <v>196</v>
      </c>
      <c r="B170" s="560" t="s">
        <v>196</v>
      </c>
      <c r="C170" s="1256" t="s">
        <v>343</v>
      </c>
      <c r="D170" s="1257"/>
      <c r="E170" s="1257"/>
      <c r="F170" s="1258"/>
      <c r="G170" s="561">
        <v>8100</v>
      </c>
      <c r="H170" s="562" t="s">
        <v>778</v>
      </c>
      <c r="I170" s="563">
        <f t="shared" si="59"/>
        <v>146412</v>
      </c>
      <c r="J170" s="563">
        <f>J442</f>
        <v>0</v>
      </c>
      <c r="K170" s="563">
        <f t="shared" si="63"/>
        <v>146412</v>
      </c>
      <c r="L170" s="563">
        <f>L442</f>
        <v>146412</v>
      </c>
      <c r="M170" s="563">
        <f>M442</f>
        <v>0</v>
      </c>
      <c r="N170" s="563">
        <f>L170+M170</f>
        <v>146412</v>
      </c>
      <c r="O170" s="546">
        <f t="shared" si="60"/>
        <v>146412</v>
      </c>
      <c r="P170" s="546">
        <f t="shared" si="61"/>
        <v>0</v>
      </c>
      <c r="Q170" s="627">
        <f t="shared" si="62"/>
        <v>146412</v>
      </c>
      <c r="R170" s="546"/>
      <c r="S170" s="546"/>
      <c r="T170" s="547"/>
    </row>
    <row r="171" spans="1:20" s="51" customFormat="1" ht="28.5" hidden="1" customHeight="1">
      <c r="A171" s="160" t="s">
        <v>207</v>
      </c>
      <c r="B171" s="220" t="s">
        <v>339</v>
      </c>
      <c r="C171" s="1272" t="s">
        <v>457</v>
      </c>
      <c r="D171" s="1273"/>
      <c r="E171" s="1273"/>
      <c r="F171" s="1274"/>
      <c r="G171" s="561">
        <v>8100</v>
      </c>
      <c r="H171" s="457">
        <v>108290</v>
      </c>
      <c r="I171" s="409">
        <f t="shared" si="59"/>
        <v>0</v>
      </c>
      <c r="J171" s="372">
        <f>SUM(J438)</f>
        <v>0</v>
      </c>
      <c r="K171" s="373">
        <f t="shared" si="63"/>
        <v>0</v>
      </c>
      <c r="L171" s="372"/>
      <c r="M171" s="372">
        <f>SUM(M438)</f>
        <v>0</v>
      </c>
      <c r="N171" s="222">
        <f>SUM(L171,M171)</f>
        <v>0</v>
      </c>
      <c r="O171" s="36">
        <f t="shared" si="60"/>
        <v>0</v>
      </c>
      <c r="P171" s="36">
        <f t="shared" si="61"/>
        <v>0</v>
      </c>
      <c r="Q171" s="631">
        <f t="shared" si="62"/>
        <v>0</v>
      </c>
      <c r="R171" s="28"/>
      <c r="S171" s="28"/>
      <c r="T171" s="29"/>
    </row>
    <row r="172" spans="1:20" s="548" customFormat="1" ht="34.5" hidden="1" customHeight="1">
      <c r="A172" s="559" t="s">
        <v>417</v>
      </c>
      <c r="B172" s="560" t="s">
        <v>417</v>
      </c>
      <c r="C172" s="1256" t="s">
        <v>527</v>
      </c>
      <c r="D172" s="1257"/>
      <c r="E172" s="1257"/>
      <c r="F172" s="1258"/>
      <c r="G172" s="561">
        <v>8100</v>
      </c>
      <c r="H172" s="562">
        <v>138154</v>
      </c>
      <c r="I172" s="563">
        <f t="shared" si="59"/>
        <v>50204</v>
      </c>
      <c r="J172" s="563">
        <f>J444</f>
        <v>0</v>
      </c>
      <c r="K172" s="563">
        <f t="shared" si="63"/>
        <v>50204</v>
      </c>
      <c r="L172" s="563">
        <f>L444</f>
        <v>50204</v>
      </c>
      <c r="M172" s="563">
        <f>M444</f>
        <v>0</v>
      </c>
      <c r="N172" s="563">
        <f>L172+M172</f>
        <v>50204</v>
      </c>
      <c r="O172" s="546">
        <f t="shared" si="60"/>
        <v>50204</v>
      </c>
      <c r="P172" s="546">
        <f t="shared" si="61"/>
        <v>0</v>
      </c>
      <c r="Q172" s="627">
        <f t="shared" si="62"/>
        <v>50204</v>
      </c>
      <c r="R172" s="546"/>
      <c r="S172" s="546"/>
      <c r="T172" s="547"/>
    </row>
    <row r="173" spans="1:20" s="548" customFormat="1" ht="34.5" hidden="1" customHeight="1">
      <c r="A173" s="559" t="s">
        <v>339</v>
      </c>
      <c r="B173" s="560" t="s">
        <v>745</v>
      </c>
      <c r="C173" s="1256" t="s">
        <v>728</v>
      </c>
      <c r="D173" s="1257"/>
      <c r="E173" s="1257"/>
      <c r="F173" s="1258"/>
      <c r="G173" s="561">
        <v>8100</v>
      </c>
      <c r="H173" s="562" t="s">
        <v>780</v>
      </c>
      <c r="I173" s="563">
        <f t="shared" si="59"/>
        <v>28446639</v>
      </c>
      <c r="J173" s="563">
        <f>J446</f>
        <v>0</v>
      </c>
      <c r="K173" s="563">
        <f t="shared" si="63"/>
        <v>28446639</v>
      </c>
      <c r="L173" s="563">
        <f>L446</f>
        <v>28446639</v>
      </c>
      <c r="M173" s="563">
        <f>M446</f>
        <v>0</v>
      </c>
      <c r="N173" s="563">
        <f>L173+M173</f>
        <v>28446639</v>
      </c>
      <c r="O173" s="546">
        <f t="shared" si="60"/>
        <v>28446639</v>
      </c>
      <c r="P173" s="546">
        <f t="shared" si="61"/>
        <v>0</v>
      </c>
      <c r="Q173" s="627">
        <f t="shared" si="62"/>
        <v>28446639</v>
      </c>
      <c r="R173" s="546"/>
      <c r="S173" s="546"/>
      <c r="T173" s="547"/>
    </row>
    <row r="174" spans="1:20" s="571" customFormat="1" ht="34.5" hidden="1" customHeight="1">
      <c r="A174" s="564"/>
      <c r="B174" s="565"/>
      <c r="C174" s="1259" t="s">
        <v>0</v>
      </c>
      <c r="D174" s="1260"/>
      <c r="E174" s="1260"/>
      <c r="F174" s="1261"/>
      <c r="G174" s="566"/>
      <c r="H174" s="567"/>
      <c r="I174" s="568">
        <f t="shared" ref="I174:N174" si="64">SUM(I175:I178)</f>
        <v>1022426</v>
      </c>
      <c r="J174" s="568">
        <f t="shared" si="64"/>
        <v>0</v>
      </c>
      <c r="K174" s="568">
        <f t="shared" si="64"/>
        <v>1022426</v>
      </c>
      <c r="L174" s="568">
        <f t="shared" si="64"/>
        <v>1022426</v>
      </c>
      <c r="M174" s="568">
        <f t="shared" si="64"/>
        <v>0</v>
      </c>
      <c r="N174" s="568">
        <f t="shared" si="64"/>
        <v>1022426</v>
      </c>
      <c r="O174" s="569">
        <f>SUM(O175:O176)</f>
        <v>1012426</v>
      </c>
      <c r="P174" s="569">
        <f>SUM(P175:P176)</f>
        <v>0</v>
      </c>
      <c r="Q174" s="626">
        <f>SUM(Q175:Q176)</f>
        <v>1012426</v>
      </c>
      <c r="R174" s="569">
        <f>N174-500000</f>
        <v>522426</v>
      </c>
      <c r="S174" s="569"/>
      <c r="T174" s="570"/>
    </row>
    <row r="175" spans="1:20" s="548" customFormat="1" ht="34.5" hidden="1" customHeight="1">
      <c r="A175" s="559" t="s">
        <v>188</v>
      </c>
      <c r="B175" s="560" t="s">
        <v>188</v>
      </c>
      <c r="C175" s="1256" t="s">
        <v>8</v>
      </c>
      <c r="D175" s="1257"/>
      <c r="E175" s="1257"/>
      <c r="F175" s="1258"/>
      <c r="G175" s="561">
        <v>8100</v>
      </c>
      <c r="H175" s="562">
        <v>108288</v>
      </c>
      <c r="I175" s="563">
        <f>L175</f>
        <v>396200</v>
      </c>
      <c r="J175" s="563">
        <f>J469</f>
        <v>0</v>
      </c>
      <c r="K175" s="563">
        <f>K469</f>
        <v>396200</v>
      </c>
      <c r="L175" s="563">
        <f>L469</f>
        <v>396200</v>
      </c>
      <c r="M175" s="563">
        <f>M469</f>
        <v>0</v>
      </c>
      <c r="N175" s="563">
        <f>L175+M175</f>
        <v>396200</v>
      </c>
      <c r="O175" s="546">
        <f>L175*$Q$139</f>
        <v>396200</v>
      </c>
      <c r="P175" s="546">
        <f>M175*$R$139</f>
        <v>0</v>
      </c>
      <c r="Q175" s="627">
        <f>SUM(O175:P175)</f>
        <v>396200</v>
      </c>
      <c r="R175" s="546"/>
      <c r="S175" s="546"/>
      <c r="T175" s="547"/>
    </row>
    <row r="176" spans="1:20" s="548" customFormat="1" ht="34.5" hidden="1" customHeight="1">
      <c r="A176" s="559" t="s">
        <v>193</v>
      </c>
      <c r="B176" s="560" t="s">
        <v>193</v>
      </c>
      <c r="C176" s="1256" t="s">
        <v>197</v>
      </c>
      <c r="D176" s="1257"/>
      <c r="E176" s="1257"/>
      <c r="F176" s="1258"/>
      <c r="G176" s="561">
        <v>8100</v>
      </c>
      <c r="H176" s="562" t="s">
        <v>686</v>
      </c>
      <c r="I176" s="563">
        <f>L176</f>
        <v>616226</v>
      </c>
      <c r="J176" s="563">
        <f>SUM(J477)</f>
        <v>0</v>
      </c>
      <c r="K176" s="563">
        <f>SUM(I176,J176)</f>
        <v>616226</v>
      </c>
      <c r="L176" s="563">
        <f>SUM(L477)</f>
        <v>616226</v>
      </c>
      <c r="M176" s="563">
        <f>SUM(M477)</f>
        <v>0</v>
      </c>
      <c r="N176" s="563">
        <f>L176+M176</f>
        <v>616226</v>
      </c>
      <c r="O176" s="546">
        <f>L176*$Q$139</f>
        <v>616226</v>
      </c>
      <c r="P176" s="546">
        <f>M176*$R$139</f>
        <v>0</v>
      </c>
      <c r="Q176" s="627">
        <f>SUM(O176:P176)</f>
        <v>616226</v>
      </c>
      <c r="R176" s="546"/>
      <c r="S176" s="546"/>
      <c r="T176" s="547"/>
    </row>
    <row r="177" spans="1:20" s="17" customFormat="1" ht="28.5" hidden="1" customHeight="1">
      <c r="A177" s="160" t="s">
        <v>207</v>
      </c>
      <c r="B177" s="220" t="s">
        <v>339</v>
      </c>
      <c r="C177" s="1272" t="s">
        <v>457</v>
      </c>
      <c r="D177" s="1273"/>
      <c r="E177" s="1273"/>
      <c r="F177" s="1274"/>
      <c r="G177" s="561">
        <v>8100</v>
      </c>
      <c r="H177" s="457">
        <v>108290</v>
      </c>
      <c r="I177" s="409">
        <f>L177</f>
        <v>0</v>
      </c>
      <c r="J177" s="372">
        <f>SUM(J480)</f>
        <v>0</v>
      </c>
      <c r="K177" s="373">
        <f>SUM(I177,J177)</f>
        <v>0</v>
      </c>
      <c r="L177" s="221"/>
      <c r="M177" s="221">
        <f>SUM(M480)</f>
        <v>0</v>
      </c>
      <c r="N177" s="222">
        <f>SUM(L177,M177)</f>
        <v>0</v>
      </c>
      <c r="O177" s="36">
        <f>L177*$Q$139</f>
        <v>0</v>
      </c>
      <c r="P177" s="36">
        <f>M177*$R$139</f>
        <v>0</v>
      </c>
      <c r="Q177" s="631">
        <f>SUM(O177:P177)</f>
        <v>0</v>
      </c>
      <c r="R177" s="28"/>
      <c r="S177" s="28"/>
      <c r="T177" s="29"/>
    </row>
    <row r="178" spans="1:20" s="548" customFormat="1" ht="34.5" hidden="1" customHeight="1">
      <c r="A178" s="559" t="s">
        <v>207</v>
      </c>
      <c r="B178" s="560" t="s">
        <v>832</v>
      </c>
      <c r="C178" s="1256" t="s">
        <v>831</v>
      </c>
      <c r="D178" s="1257"/>
      <c r="E178" s="1257"/>
      <c r="F178" s="1258"/>
      <c r="G178" s="561">
        <v>8100</v>
      </c>
      <c r="H178" s="562">
        <v>111701</v>
      </c>
      <c r="I178" s="563">
        <f>L178</f>
        <v>10000</v>
      </c>
      <c r="J178" s="563">
        <f>J483</f>
        <v>0</v>
      </c>
      <c r="K178" s="563">
        <f>K483</f>
        <v>10000</v>
      </c>
      <c r="L178" s="563">
        <f>L483</f>
        <v>10000</v>
      </c>
      <c r="M178" s="563">
        <f>M483</f>
        <v>0</v>
      </c>
      <c r="N178" s="563">
        <f>L178+M178</f>
        <v>10000</v>
      </c>
      <c r="O178" s="546">
        <f>L178*$Q$139</f>
        <v>10000</v>
      </c>
      <c r="P178" s="546">
        <f>M178*$R$139</f>
        <v>0</v>
      </c>
      <c r="Q178" s="627">
        <f>SUM(O178:P178)</f>
        <v>10000</v>
      </c>
      <c r="R178" s="546"/>
      <c r="S178" s="546"/>
      <c r="T178" s="547"/>
    </row>
    <row r="179" spans="1:20" s="571" customFormat="1" ht="34.5" hidden="1" customHeight="1">
      <c r="A179" s="564"/>
      <c r="B179" s="565"/>
      <c r="C179" s="1259" t="s">
        <v>190</v>
      </c>
      <c r="D179" s="1260"/>
      <c r="E179" s="1260"/>
      <c r="F179" s="1261"/>
      <c r="G179" s="566"/>
      <c r="H179" s="567"/>
      <c r="I179" s="568">
        <f t="shared" ref="I179:N179" si="65">SUM(I180:I183)</f>
        <v>4940463</v>
      </c>
      <c r="J179" s="568">
        <f t="shared" si="65"/>
        <v>2000000</v>
      </c>
      <c r="K179" s="568">
        <f t="shared" si="65"/>
        <v>6940463</v>
      </c>
      <c r="L179" s="568">
        <f t="shared" si="65"/>
        <v>4940463</v>
      </c>
      <c r="M179" s="568">
        <f t="shared" si="65"/>
        <v>2000000</v>
      </c>
      <c r="N179" s="568">
        <f t="shared" si="65"/>
        <v>6940463</v>
      </c>
      <c r="O179" s="569">
        <f>SUM(O180:O182)</f>
        <v>4594815</v>
      </c>
      <c r="P179" s="569">
        <f>SUM(P180:P182)</f>
        <v>2000000</v>
      </c>
      <c r="Q179" s="626">
        <f>SUM(Q180:Q182)</f>
        <v>6594815</v>
      </c>
      <c r="R179" s="569"/>
      <c r="S179" s="569"/>
      <c r="T179" s="570"/>
    </row>
    <row r="180" spans="1:20" s="548" customFormat="1" ht="34.5" hidden="1" customHeight="1">
      <c r="A180" s="559" t="s">
        <v>202</v>
      </c>
      <c r="B180" s="560" t="s">
        <v>202</v>
      </c>
      <c r="C180" s="1256" t="s">
        <v>6</v>
      </c>
      <c r="D180" s="1257"/>
      <c r="E180" s="1257"/>
      <c r="F180" s="1258"/>
      <c r="G180" s="561">
        <v>8100</v>
      </c>
      <c r="H180" s="562">
        <v>108288</v>
      </c>
      <c r="I180" s="563">
        <f>L180</f>
        <v>4594815</v>
      </c>
      <c r="J180" s="563">
        <f>SUM(J498)</f>
        <v>2000000</v>
      </c>
      <c r="K180" s="563">
        <f>SUM(I180,J180)</f>
        <v>6594815</v>
      </c>
      <c r="L180" s="563">
        <f>SUM(L498)</f>
        <v>4594815</v>
      </c>
      <c r="M180" s="563">
        <f>SUM(M498)</f>
        <v>2000000</v>
      </c>
      <c r="N180" s="563">
        <f>L180+M180</f>
        <v>6594815</v>
      </c>
      <c r="O180" s="546">
        <f>L180*$Q$139</f>
        <v>4594815</v>
      </c>
      <c r="P180" s="546">
        <f>M180*$R$139</f>
        <v>2000000</v>
      </c>
      <c r="Q180" s="627">
        <f>SUM(O180:P180)</f>
        <v>6594815</v>
      </c>
      <c r="R180" s="546">
        <v>4219292</v>
      </c>
      <c r="S180" s="546">
        <f>R180-Q180</f>
        <v>-2375523</v>
      </c>
      <c r="T180" s="547"/>
    </row>
    <row r="181" spans="1:20" s="51" customFormat="1" ht="28.5" hidden="1" customHeight="1">
      <c r="A181" s="160" t="s">
        <v>207</v>
      </c>
      <c r="B181" s="220" t="s">
        <v>339</v>
      </c>
      <c r="C181" s="1272" t="s">
        <v>457</v>
      </c>
      <c r="D181" s="1273"/>
      <c r="E181" s="1273"/>
      <c r="F181" s="1274"/>
      <c r="G181" s="561">
        <v>100</v>
      </c>
      <c r="H181" s="457">
        <v>108290</v>
      </c>
      <c r="I181" s="409">
        <f>L181</f>
        <v>0</v>
      </c>
      <c r="J181" s="372">
        <f>J512</f>
        <v>0</v>
      </c>
      <c r="K181" s="372">
        <f>K512</f>
        <v>0</v>
      </c>
      <c r="L181" s="372">
        <f>L512</f>
        <v>0</v>
      </c>
      <c r="M181" s="372">
        <f>M512</f>
        <v>0</v>
      </c>
      <c r="N181" s="372">
        <f>N512</f>
        <v>0</v>
      </c>
      <c r="O181" s="36">
        <f>L181*$Q$139</f>
        <v>0</v>
      </c>
      <c r="P181" s="36">
        <f>M181*$R$139</f>
        <v>0</v>
      </c>
      <c r="Q181" s="631">
        <f>SUM(O181:P181)</f>
        <v>0</v>
      </c>
      <c r="R181" s="28"/>
      <c r="S181" s="28"/>
      <c r="T181" s="29"/>
    </row>
    <row r="182" spans="1:20" s="51" customFormat="1" ht="51" hidden="1">
      <c r="A182" s="159" t="s">
        <v>340</v>
      </c>
      <c r="B182" s="224" t="s">
        <v>340</v>
      </c>
      <c r="C182" s="1272" t="s">
        <v>157</v>
      </c>
      <c r="D182" s="1273"/>
      <c r="E182" s="1273"/>
      <c r="F182" s="1274"/>
      <c r="G182" s="561">
        <v>100</v>
      </c>
      <c r="H182" s="459" t="s">
        <v>789</v>
      </c>
      <c r="I182" s="409">
        <f>L182</f>
        <v>0</v>
      </c>
      <c r="J182" s="377">
        <f>J515</f>
        <v>0</v>
      </c>
      <c r="K182" s="378">
        <f>SUM(I182,J182)</f>
        <v>0</v>
      </c>
      <c r="L182" s="225">
        <f>L515</f>
        <v>0</v>
      </c>
      <c r="M182" s="225">
        <f>M515</f>
        <v>0</v>
      </c>
      <c r="N182" s="226">
        <f>SUM(L182,M182)</f>
        <v>0</v>
      </c>
      <c r="O182" s="36">
        <f>L182*$Q$139</f>
        <v>0</v>
      </c>
      <c r="P182" s="36">
        <f>M182*$R$139</f>
        <v>0</v>
      </c>
      <c r="Q182" s="631">
        <f>SUM(O182:P182)</f>
        <v>0</v>
      </c>
      <c r="R182" s="28">
        <f>SUM(L182,L183)</f>
        <v>345648</v>
      </c>
      <c r="S182" s="28"/>
      <c r="T182" s="29"/>
    </row>
    <row r="183" spans="1:20" s="548" customFormat="1" ht="34.5" hidden="1" customHeight="1">
      <c r="A183" s="559" t="s">
        <v>535</v>
      </c>
      <c r="B183" s="560" t="s">
        <v>721</v>
      </c>
      <c r="C183" s="1256" t="s">
        <v>722</v>
      </c>
      <c r="D183" s="1257"/>
      <c r="E183" s="1257"/>
      <c r="F183" s="1258"/>
      <c r="G183" s="604" t="s">
        <v>1321</v>
      </c>
      <c r="H183" s="562" t="s">
        <v>791</v>
      </c>
      <c r="I183" s="563">
        <f>L183</f>
        <v>345648</v>
      </c>
      <c r="J183" s="563">
        <f>J517</f>
        <v>0</v>
      </c>
      <c r="K183" s="563">
        <f>K517</f>
        <v>345648</v>
      </c>
      <c r="L183" s="563">
        <f>L517</f>
        <v>345648</v>
      </c>
      <c r="M183" s="563">
        <f>M517</f>
        <v>0</v>
      </c>
      <c r="N183" s="563">
        <f>L183+M183</f>
        <v>345648</v>
      </c>
      <c r="O183" s="546">
        <f>L183*$Q$139</f>
        <v>345648</v>
      </c>
      <c r="P183" s="546">
        <f>M183*$R$139</f>
        <v>0</v>
      </c>
      <c r="Q183" s="627">
        <f>SUM(O183:P183)</f>
        <v>345648</v>
      </c>
      <c r="R183" s="546"/>
      <c r="S183" s="546"/>
      <c r="T183" s="547"/>
    </row>
    <row r="184" spans="1:20" s="571" customFormat="1" ht="34.5" hidden="1" customHeight="1">
      <c r="A184" s="564"/>
      <c r="B184" s="565"/>
      <c r="C184" s="1259" t="s">
        <v>5</v>
      </c>
      <c r="D184" s="1260"/>
      <c r="E184" s="1260"/>
      <c r="F184" s="1261"/>
      <c r="G184" s="566"/>
      <c r="H184" s="567"/>
      <c r="I184" s="568">
        <f t="shared" ref="I184:Q184" si="66">SUM(I185:I187)</f>
        <v>315128</v>
      </c>
      <c r="J184" s="568">
        <f t="shared" si="66"/>
        <v>0</v>
      </c>
      <c r="K184" s="568">
        <f t="shared" si="66"/>
        <v>315128</v>
      </c>
      <c r="L184" s="568">
        <f t="shared" si="66"/>
        <v>315128</v>
      </c>
      <c r="M184" s="568">
        <f t="shared" si="66"/>
        <v>0</v>
      </c>
      <c r="N184" s="568">
        <f t="shared" si="66"/>
        <v>315128</v>
      </c>
      <c r="O184" s="569">
        <f t="shared" si="66"/>
        <v>315128</v>
      </c>
      <c r="P184" s="569">
        <f t="shared" si="66"/>
        <v>0</v>
      </c>
      <c r="Q184" s="626">
        <f t="shared" si="66"/>
        <v>315128</v>
      </c>
      <c r="R184" s="569"/>
      <c r="S184" s="569"/>
      <c r="T184" s="570"/>
    </row>
    <row r="185" spans="1:20" s="548" customFormat="1" ht="34.5" hidden="1" customHeight="1">
      <c r="A185" s="559" t="s">
        <v>188</v>
      </c>
      <c r="B185" s="560" t="s">
        <v>188</v>
      </c>
      <c r="C185" s="1256" t="s">
        <v>8</v>
      </c>
      <c r="D185" s="1257"/>
      <c r="E185" s="1257"/>
      <c r="F185" s="1258"/>
      <c r="G185" s="561">
        <v>8100</v>
      </c>
      <c r="H185" s="562">
        <v>108288</v>
      </c>
      <c r="I185" s="563">
        <f>L185</f>
        <v>230043</v>
      </c>
      <c r="J185" s="563">
        <f>SUM(J543)</f>
        <v>0</v>
      </c>
      <c r="K185" s="563">
        <f>SUM(I185,J185)</f>
        <v>230043</v>
      </c>
      <c r="L185" s="563">
        <f>SUM(L543)</f>
        <v>230043</v>
      </c>
      <c r="M185" s="563">
        <f>SUM(M543)</f>
        <v>0</v>
      </c>
      <c r="N185" s="563">
        <f>L185+M185</f>
        <v>230043</v>
      </c>
      <c r="O185" s="546">
        <f>L185*$Q$139</f>
        <v>230043</v>
      </c>
      <c r="P185" s="546">
        <f>M185*$R$139</f>
        <v>0</v>
      </c>
      <c r="Q185" s="627">
        <f>SUM(O185:P185)</f>
        <v>230043</v>
      </c>
      <c r="R185" s="546"/>
      <c r="S185" s="546"/>
      <c r="T185" s="547"/>
    </row>
    <row r="186" spans="1:20" s="548" customFormat="1" ht="34.5" hidden="1" customHeight="1">
      <c r="A186" s="559" t="s">
        <v>193</v>
      </c>
      <c r="B186" s="560" t="s">
        <v>193</v>
      </c>
      <c r="C186" s="1256" t="s">
        <v>197</v>
      </c>
      <c r="D186" s="1257"/>
      <c r="E186" s="1257"/>
      <c r="F186" s="1258"/>
      <c r="G186" s="561">
        <v>8100</v>
      </c>
      <c r="H186" s="562" t="s">
        <v>686</v>
      </c>
      <c r="I186" s="563">
        <f>L186</f>
        <v>85085</v>
      </c>
      <c r="J186" s="563">
        <f>M186</f>
        <v>0</v>
      </c>
      <c r="K186" s="563">
        <f>SUM(I186,J186)</f>
        <v>85085</v>
      </c>
      <c r="L186" s="563">
        <f>SUM(L552)</f>
        <v>85085</v>
      </c>
      <c r="M186" s="563">
        <f>SUM(M552)</f>
        <v>0</v>
      </c>
      <c r="N186" s="563">
        <f>L186+M186</f>
        <v>85085</v>
      </c>
      <c r="O186" s="546">
        <f>L186*$Q$139</f>
        <v>85085</v>
      </c>
      <c r="P186" s="546">
        <f>M186*$R$139</f>
        <v>0</v>
      </c>
      <c r="Q186" s="627">
        <f>SUM(O186:P186)</f>
        <v>85085</v>
      </c>
      <c r="R186" s="546"/>
      <c r="S186" s="546"/>
      <c r="T186" s="547"/>
    </row>
    <row r="187" spans="1:20" s="17" customFormat="1" ht="28.5" hidden="1" customHeight="1">
      <c r="A187" s="160" t="s">
        <v>193</v>
      </c>
      <c r="B187" s="220" t="s">
        <v>339</v>
      </c>
      <c r="C187" s="1272" t="s">
        <v>457</v>
      </c>
      <c r="D187" s="1273"/>
      <c r="E187" s="1273"/>
      <c r="F187" s="1274"/>
      <c r="G187" s="211">
        <v>112</v>
      </c>
      <c r="H187" s="457">
        <v>108290</v>
      </c>
      <c r="I187" s="372"/>
      <c r="J187" s="372">
        <f>J556</f>
        <v>0</v>
      </c>
      <c r="K187" s="373">
        <f>SUM(I187,J187)</f>
        <v>0</v>
      </c>
      <c r="L187" s="221"/>
      <c r="M187" s="372">
        <f>M556</f>
        <v>0</v>
      </c>
      <c r="N187" s="222">
        <f>SUM(L187,M187)</f>
        <v>0</v>
      </c>
      <c r="O187" s="36">
        <f>L187*$Q$139</f>
        <v>0</v>
      </c>
      <c r="P187" s="36">
        <f>M187*$R$139</f>
        <v>0</v>
      </c>
      <c r="Q187" s="631">
        <f>SUM(O187:P187)</f>
        <v>0</v>
      </c>
      <c r="R187" s="28"/>
      <c r="S187" s="28"/>
      <c r="T187" s="29"/>
    </row>
    <row r="188" spans="1:20" s="571" customFormat="1" ht="34.5" hidden="1" customHeight="1">
      <c r="A188" s="564"/>
      <c r="B188" s="565"/>
      <c r="C188" s="1259" t="s">
        <v>195</v>
      </c>
      <c r="D188" s="1260"/>
      <c r="E188" s="1260"/>
      <c r="F188" s="1261"/>
      <c r="G188" s="566"/>
      <c r="H188" s="567"/>
      <c r="I188" s="568">
        <f t="shared" ref="I188:Q188" si="67">SUM(I189:I193)</f>
        <v>8600200</v>
      </c>
      <c r="J188" s="568">
        <f t="shared" si="67"/>
        <v>0</v>
      </c>
      <c r="K188" s="568">
        <f t="shared" si="67"/>
        <v>8600200</v>
      </c>
      <c r="L188" s="568">
        <f t="shared" si="67"/>
        <v>8600200</v>
      </c>
      <c r="M188" s="568">
        <f t="shared" si="67"/>
        <v>0</v>
      </c>
      <c r="N188" s="568">
        <f t="shared" si="67"/>
        <v>8600200</v>
      </c>
      <c r="O188" s="569">
        <f t="shared" si="67"/>
        <v>8600200</v>
      </c>
      <c r="P188" s="569">
        <f t="shared" si="67"/>
        <v>0</v>
      </c>
      <c r="Q188" s="626">
        <f t="shared" si="67"/>
        <v>8600200</v>
      </c>
      <c r="R188" s="569"/>
      <c r="S188" s="569"/>
      <c r="T188" s="570"/>
    </row>
    <row r="189" spans="1:20" s="548" customFormat="1" ht="34.5" hidden="1" customHeight="1">
      <c r="A189" s="559" t="s">
        <v>188</v>
      </c>
      <c r="B189" s="560" t="s">
        <v>188</v>
      </c>
      <c r="C189" s="1256" t="s">
        <v>8</v>
      </c>
      <c r="D189" s="1257"/>
      <c r="E189" s="1257"/>
      <c r="F189" s="1258"/>
      <c r="G189" s="561">
        <v>8100</v>
      </c>
      <c r="H189" s="562">
        <v>108288</v>
      </c>
      <c r="I189" s="563">
        <f t="shared" ref="I189:J193" si="68">L189</f>
        <v>1180000</v>
      </c>
      <c r="J189" s="563">
        <f>SUM(J575)</f>
        <v>0</v>
      </c>
      <c r="K189" s="563">
        <f>SUM(I189,J189)</f>
        <v>1180000</v>
      </c>
      <c r="L189" s="563">
        <f>SUM(L575)</f>
        <v>1180000</v>
      </c>
      <c r="M189" s="563">
        <f>SUM(M575)</f>
        <v>0</v>
      </c>
      <c r="N189" s="563">
        <f>L189+M189</f>
        <v>1180000</v>
      </c>
      <c r="O189" s="546">
        <f>L189*$Q$139</f>
        <v>1180000</v>
      </c>
      <c r="P189" s="546">
        <f>M189*$R$139</f>
        <v>0</v>
      </c>
      <c r="Q189" s="627">
        <f>SUM(O189:P189)</f>
        <v>1180000</v>
      </c>
      <c r="R189" s="546"/>
      <c r="S189" s="546"/>
      <c r="T189" s="547"/>
    </row>
    <row r="190" spans="1:20" s="548" customFormat="1" ht="34.5" hidden="1" customHeight="1">
      <c r="A190" s="559" t="s">
        <v>1</v>
      </c>
      <c r="B190" s="560" t="s">
        <v>1</v>
      </c>
      <c r="C190" s="1256" t="s">
        <v>342</v>
      </c>
      <c r="D190" s="1257"/>
      <c r="E190" s="1257"/>
      <c r="F190" s="1258"/>
      <c r="G190" s="561">
        <v>8100</v>
      </c>
      <c r="H190" s="562">
        <v>108288</v>
      </c>
      <c r="I190" s="563">
        <f t="shared" si="68"/>
        <v>1962000</v>
      </c>
      <c r="J190" s="563">
        <f t="shared" si="68"/>
        <v>0</v>
      </c>
      <c r="K190" s="563">
        <f>SUM(I190,J190)</f>
        <v>1962000</v>
      </c>
      <c r="L190" s="563">
        <f>SUM(L579)</f>
        <v>1962000</v>
      </c>
      <c r="M190" s="563">
        <f>SUM(M579)</f>
        <v>0</v>
      </c>
      <c r="N190" s="563">
        <f>L190+M190</f>
        <v>1962000</v>
      </c>
      <c r="O190" s="546">
        <f>L190*$Q$139</f>
        <v>1962000</v>
      </c>
      <c r="P190" s="546">
        <f>M190*$R$139</f>
        <v>0</v>
      </c>
      <c r="Q190" s="627">
        <f>SUM(O190:P190)</f>
        <v>1962000</v>
      </c>
      <c r="R190" s="546"/>
      <c r="S190" s="546"/>
      <c r="T190" s="547"/>
    </row>
    <row r="191" spans="1:20" s="51" customFormat="1" ht="28.5" hidden="1" customHeight="1">
      <c r="A191" s="160" t="s">
        <v>207</v>
      </c>
      <c r="B191" s="220" t="s">
        <v>339</v>
      </c>
      <c r="C191" s="1272" t="s">
        <v>457</v>
      </c>
      <c r="D191" s="1273"/>
      <c r="E191" s="1273"/>
      <c r="F191" s="1274"/>
      <c r="G191" s="561">
        <v>8100</v>
      </c>
      <c r="H191" s="562">
        <v>108288</v>
      </c>
      <c r="I191" s="409">
        <f t="shared" si="68"/>
        <v>0</v>
      </c>
      <c r="J191" s="372">
        <f>SUM(J585)</f>
        <v>0</v>
      </c>
      <c r="K191" s="373">
        <f>SUM(I191,J191)</f>
        <v>0</v>
      </c>
      <c r="L191" s="221"/>
      <c r="M191" s="221">
        <f>SUM(M585)</f>
        <v>0</v>
      </c>
      <c r="N191" s="222">
        <f>SUM(L191,M191)</f>
        <v>0</v>
      </c>
      <c r="O191" s="36">
        <f>L191*$Q$139</f>
        <v>0</v>
      </c>
      <c r="P191" s="36">
        <f>M191*$R$139</f>
        <v>0</v>
      </c>
      <c r="Q191" s="631">
        <f>SUM(O191:P191)</f>
        <v>0</v>
      </c>
      <c r="R191" s="28"/>
      <c r="S191" s="28"/>
      <c r="T191" s="29"/>
    </row>
    <row r="192" spans="1:20" s="548" customFormat="1" ht="34.5" hidden="1" customHeight="1">
      <c r="A192" s="559" t="s">
        <v>9</v>
      </c>
      <c r="B192" s="560" t="s">
        <v>9</v>
      </c>
      <c r="C192" s="1256" t="s">
        <v>269</v>
      </c>
      <c r="D192" s="1257"/>
      <c r="E192" s="1257"/>
      <c r="F192" s="1258"/>
      <c r="G192" s="561">
        <v>8100</v>
      </c>
      <c r="H192" s="562">
        <v>108288</v>
      </c>
      <c r="I192" s="563">
        <f t="shared" si="68"/>
        <v>4928200</v>
      </c>
      <c r="J192" s="563">
        <f t="shared" si="68"/>
        <v>0</v>
      </c>
      <c r="K192" s="563">
        <f>SUM(I192,J192)</f>
        <v>4928200</v>
      </c>
      <c r="L192" s="563">
        <f>SUM(L590)</f>
        <v>4928200</v>
      </c>
      <c r="M192" s="563">
        <f>SUM(M590)</f>
        <v>0</v>
      </c>
      <c r="N192" s="563">
        <f>L192+M192</f>
        <v>4928200</v>
      </c>
      <c r="O192" s="546">
        <f>L192*$Q$139</f>
        <v>4928200</v>
      </c>
      <c r="P192" s="546">
        <f>M192*$R$139</f>
        <v>0</v>
      </c>
      <c r="Q192" s="627">
        <f>SUM(O192:P192)</f>
        <v>4928200</v>
      </c>
      <c r="R192" s="546"/>
      <c r="S192" s="546"/>
      <c r="T192" s="547"/>
    </row>
    <row r="193" spans="1:20" s="548" customFormat="1" ht="34.5" hidden="1" customHeight="1">
      <c r="A193" s="559" t="s">
        <v>340</v>
      </c>
      <c r="B193" s="560" t="s">
        <v>721</v>
      </c>
      <c r="C193" s="1256" t="s">
        <v>722</v>
      </c>
      <c r="D193" s="1257"/>
      <c r="E193" s="1257"/>
      <c r="F193" s="1258"/>
      <c r="G193" s="604" t="s">
        <v>1321</v>
      </c>
      <c r="H193" s="562" t="s">
        <v>791</v>
      </c>
      <c r="I193" s="563">
        <f t="shared" si="68"/>
        <v>530000</v>
      </c>
      <c r="J193" s="563">
        <f t="shared" si="68"/>
        <v>0</v>
      </c>
      <c r="K193" s="563">
        <f>SUM(I193,J193)</f>
        <v>530000</v>
      </c>
      <c r="L193" s="563">
        <f>L599</f>
        <v>530000</v>
      </c>
      <c r="M193" s="563">
        <f>M599</f>
        <v>0</v>
      </c>
      <c r="N193" s="563">
        <f>L193+M193</f>
        <v>530000</v>
      </c>
      <c r="O193" s="546">
        <f>L193*$Q$139</f>
        <v>530000</v>
      </c>
      <c r="P193" s="546">
        <f>M193*$R$139</f>
        <v>0</v>
      </c>
      <c r="Q193" s="627">
        <f>SUM(O193:P193)</f>
        <v>530000</v>
      </c>
      <c r="R193" s="546"/>
      <c r="S193" s="546"/>
      <c r="T193" s="547"/>
    </row>
    <row r="194" spans="1:20" s="51" customFormat="1" ht="21.95" hidden="1" customHeight="1" thickBot="1">
      <c r="A194" s="52"/>
      <c r="B194" s="52"/>
      <c r="C194" s="62"/>
      <c r="D194" s="62"/>
      <c r="E194" s="62"/>
      <c r="F194" s="62"/>
      <c r="G194" s="63"/>
      <c r="H194" s="63"/>
      <c r="I194" s="63"/>
      <c r="J194" s="63"/>
      <c r="K194" s="63"/>
      <c r="L194" s="64"/>
      <c r="M194" s="64"/>
      <c r="N194" s="64"/>
      <c r="O194" s="28"/>
      <c r="P194" s="28"/>
      <c r="Q194" s="312"/>
      <c r="R194" s="28"/>
      <c r="S194" s="28"/>
      <c r="T194" s="29"/>
    </row>
    <row r="195" spans="1:20" s="51" customFormat="1" ht="33" hidden="1" customHeight="1" thickBot="1">
      <c r="A195" s="41"/>
      <c r="B195" s="41"/>
      <c r="C195" s="1204" t="s">
        <v>51</v>
      </c>
      <c r="D195" s="1204"/>
      <c r="E195" s="1204"/>
      <c r="F195" s="1204"/>
      <c r="G195" s="11"/>
      <c r="H195" s="1243" t="s">
        <v>75</v>
      </c>
      <c r="I195" s="1244"/>
      <c r="J195" s="1244"/>
      <c r="K195" s="1245"/>
      <c r="L195" s="348"/>
      <c r="M195" s="363"/>
      <c r="N195" s="348"/>
      <c r="O195" s="28"/>
      <c r="P195" s="28"/>
      <c r="Q195" s="312"/>
      <c r="R195" s="28"/>
      <c r="S195" s="28"/>
      <c r="T195" s="29"/>
    </row>
    <row r="196" spans="1:20" s="51" customFormat="1" ht="33" hidden="1" customHeight="1">
      <c r="A196" s="41"/>
      <c r="B196" s="41"/>
      <c r="C196" s="1204" t="s">
        <v>52</v>
      </c>
      <c r="D196" s="1204"/>
      <c r="E196" s="1204"/>
      <c r="F196" s="1204"/>
      <c r="G196" s="11"/>
      <c r="H196" s="1246" t="s">
        <v>76</v>
      </c>
      <c r="I196" s="1247"/>
      <c r="J196" s="1247"/>
      <c r="K196" s="1248"/>
      <c r="L196" s="348"/>
      <c r="M196" s="348"/>
      <c r="N196" s="348"/>
      <c r="O196" s="28"/>
      <c r="P196" s="28"/>
      <c r="Q196" s="312"/>
      <c r="R196" s="28"/>
      <c r="S196" s="28"/>
      <c r="T196" s="29"/>
    </row>
    <row r="197" spans="1:20" s="51" customFormat="1" ht="33" hidden="1" customHeight="1">
      <c r="A197" s="41"/>
      <c r="B197" s="41"/>
      <c r="C197" s="1204" t="s">
        <v>50</v>
      </c>
      <c r="D197" s="1204"/>
      <c r="E197" s="1204"/>
      <c r="F197" s="1204"/>
      <c r="G197" s="44"/>
      <c r="H197" s="1249"/>
      <c r="I197" s="1250"/>
      <c r="J197" s="1250"/>
      <c r="K197" s="1251"/>
      <c r="L197" s="348"/>
      <c r="M197" s="348"/>
      <c r="N197" s="348"/>
      <c r="O197" s="28"/>
      <c r="P197" s="28"/>
      <c r="Q197" s="312"/>
      <c r="R197" s="28"/>
      <c r="S197" s="28"/>
      <c r="T197" s="29"/>
    </row>
    <row r="198" spans="1:20" s="51" customFormat="1" ht="21.95" hidden="1" customHeight="1">
      <c r="A198" s="41"/>
      <c r="B198" s="41"/>
      <c r="C198" s="1275"/>
      <c r="D198" s="1275"/>
      <c r="E198" s="1275"/>
      <c r="F198" s="1275"/>
      <c r="G198" s="44"/>
      <c r="H198" s="1249"/>
      <c r="I198" s="1250"/>
      <c r="J198" s="1250"/>
      <c r="K198" s="1251"/>
      <c r="L198" s="349"/>
      <c r="M198" s="349"/>
      <c r="N198" s="349"/>
      <c r="O198" s="28"/>
      <c r="P198" s="28"/>
      <c r="Q198" s="312"/>
      <c r="R198" s="28"/>
      <c r="S198" s="28"/>
      <c r="T198" s="29"/>
    </row>
    <row r="199" spans="1:20" s="51" customFormat="1" ht="36.75" hidden="1" customHeight="1">
      <c r="A199" s="41"/>
      <c r="B199" s="41"/>
      <c r="C199" s="609"/>
      <c r="D199" s="609"/>
      <c r="E199" s="609"/>
      <c r="F199" s="609"/>
      <c r="G199" s="44"/>
      <c r="H199" s="1211" t="s">
        <v>22</v>
      </c>
      <c r="I199" s="1212"/>
      <c r="J199" s="1212"/>
      <c r="K199" s="477">
        <f>K273</f>
        <v>168515382</v>
      </c>
      <c r="L199" s="348"/>
      <c r="M199" s="348"/>
      <c r="N199" s="86"/>
      <c r="O199" s="28"/>
      <c r="P199" s="28"/>
      <c r="Q199" s="312"/>
      <c r="R199" s="28"/>
      <c r="S199" s="28"/>
      <c r="T199" s="29"/>
    </row>
    <row r="200" spans="1:20" s="51" customFormat="1" ht="17.100000000000001" hidden="1" customHeight="1">
      <c r="A200" s="41"/>
      <c r="B200" s="41"/>
      <c r="C200" s="609"/>
      <c r="D200" s="609"/>
      <c r="E200" s="609"/>
      <c r="F200" s="609"/>
      <c r="G200" s="44"/>
      <c r="H200" s="20"/>
      <c r="I200" s="20"/>
      <c r="J200" s="20"/>
      <c r="K200" s="20"/>
      <c r="L200" s="20"/>
      <c r="M200" s="20"/>
      <c r="N200" s="18"/>
      <c r="O200" s="28"/>
      <c r="P200" s="28"/>
      <c r="Q200" s="312"/>
      <c r="R200" s="28"/>
      <c r="S200" s="28"/>
      <c r="T200" s="29"/>
    </row>
    <row r="201" spans="1:20" ht="44.25" hidden="1" customHeight="1">
      <c r="A201" s="346" t="s">
        <v>1057</v>
      </c>
      <c r="B201" s="1226" t="s">
        <v>1037</v>
      </c>
      <c r="C201" s="1226"/>
      <c r="D201" s="1226"/>
      <c r="E201" s="1226"/>
      <c r="F201" s="1226"/>
      <c r="G201" s="1226"/>
      <c r="H201" s="1226"/>
      <c r="I201" s="1226"/>
      <c r="J201" s="1226"/>
      <c r="K201" s="1226"/>
      <c r="L201" s="346"/>
      <c r="M201" s="346"/>
      <c r="N201" s="346"/>
      <c r="O201" s="27"/>
      <c r="P201" s="27"/>
      <c r="Q201" s="620"/>
      <c r="R201" s="27"/>
      <c r="S201" s="27"/>
      <c r="T201" s="27"/>
    </row>
    <row r="202" spans="1:20" ht="20.100000000000001" hidden="1" customHeight="1">
      <c r="A202" s="195"/>
      <c r="B202" s="195"/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</row>
    <row r="203" spans="1:20" ht="24.95" hidden="1" customHeight="1">
      <c r="A203" s="346"/>
      <c r="B203" s="1226" t="s">
        <v>168</v>
      </c>
      <c r="C203" s="1226"/>
      <c r="D203" s="1226"/>
      <c r="E203" s="1226"/>
      <c r="F203" s="1226"/>
      <c r="G203" s="1226"/>
      <c r="H203" s="1226"/>
      <c r="I203" s="1226"/>
      <c r="J203" s="1226"/>
      <c r="K203" s="1226"/>
      <c r="L203" s="346"/>
      <c r="M203" s="346"/>
      <c r="N203" s="347"/>
    </row>
    <row r="204" spans="1:20" ht="24.95" hidden="1" customHeight="1">
      <c r="A204" s="346"/>
      <c r="B204" s="607"/>
      <c r="C204" s="607"/>
      <c r="D204" s="607"/>
      <c r="E204" s="607"/>
      <c r="F204" s="607"/>
      <c r="G204" s="607"/>
      <c r="H204" s="607"/>
      <c r="I204" s="607"/>
      <c r="J204" s="607"/>
      <c r="K204" s="607"/>
      <c r="L204" s="346"/>
      <c r="M204" s="346"/>
      <c r="N204" s="346"/>
    </row>
    <row r="205" spans="1:20" s="555" customFormat="1" ht="66" hidden="1" customHeight="1">
      <c r="A205" s="549" t="s">
        <v>183</v>
      </c>
      <c r="B205" s="558" t="s">
        <v>183</v>
      </c>
      <c r="C205" s="550" t="s">
        <v>209</v>
      </c>
      <c r="D205" s="551"/>
      <c r="E205" s="551"/>
      <c r="F205" s="552"/>
      <c r="G205" s="556" t="s">
        <v>440</v>
      </c>
      <c r="H205" s="557" t="s">
        <v>16</v>
      </c>
      <c r="I205" s="558" t="s">
        <v>180</v>
      </c>
      <c r="J205" s="558" t="s">
        <v>181</v>
      </c>
      <c r="K205" s="558" t="s">
        <v>200</v>
      </c>
      <c r="L205" s="549" t="s">
        <v>180</v>
      </c>
      <c r="M205" s="549" t="s">
        <v>181</v>
      </c>
      <c r="N205" s="549" t="s">
        <v>200</v>
      </c>
      <c r="O205" s="553" t="s">
        <v>180</v>
      </c>
      <c r="P205" s="553" t="s">
        <v>181</v>
      </c>
      <c r="Q205" s="625" t="s">
        <v>200</v>
      </c>
      <c r="R205" s="553"/>
      <c r="S205" s="553"/>
      <c r="T205" s="554"/>
    </row>
    <row r="206" spans="1:20" s="571" customFormat="1" ht="34.5" hidden="1" customHeight="1">
      <c r="A206" s="564"/>
      <c r="B206" s="565"/>
      <c r="C206" s="1259" t="s">
        <v>184</v>
      </c>
      <c r="D206" s="1260"/>
      <c r="E206" s="1260"/>
      <c r="F206" s="1261"/>
      <c r="G206" s="566"/>
      <c r="H206" s="567"/>
      <c r="I206" s="568">
        <f t="shared" ref="I206:N206" si="69">SUM(I207:I212)</f>
        <v>5524598</v>
      </c>
      <c r="J206" s="568">
        <f t="shared" si="69"/>
        <v>0</v>
      </c>
      <c r="K206" s="568">
        <f t="shared" si="69"/>
        <v>5524598</v>
      </c>
      <c r="L206" s="568">
        <f t="shared" si="69"/>
        <v>5524598</v>
      </c>
      <c r="M206" s="568">
        <f t="shared" si="69"/>
        <v>0</v>
      </c>
      <c r="N206" s="568">
        <f t="shared" si="69"/>
        <v>5524598</v>
      </c>
      <c r="O206" s="569">
        <f>SUM(O207:O221)</f>
        <v>49247323</v>
      </c>
      <c r="P206" s="569">
        <f>SUM(P207:P221)</f>
        <v>0</v>
      </c>
      <c r="Q206" s="626">
        <f>SUM(Q207:Q220)</f>
        <v>36770246</v>
      </c>
      <c r="R206" s="569"/>
      <c r="S206" s="569"/>
      <c r="T206" s="570"/>
    </row>
    <row r="207" spans="1:20" s="548" customFormat="1" ht="34.5" hidden="1" customHeight="1">
      <c r="A207" s="559" t="s">
        <v>188</v>
      </c>
      <c r="B207" s="560" t="s">
        <v>188</v>
      </c>
      <c r="C207" s="1256" t="s">
        <v>8</v>
      </c>
      <c r="D207" s="1257"/>
      <c r="E207" s="1257"/>
      <c r="F207" s="1258"/>
      <c r="G207" s="561">
        <v>8100</v>
      </c>
      <c r="H207" s="562">
        <v>108288</v>
      </c>
      <c r="I207" s="563">
        <f>L207</f>
        <v>382797</v>
      </c>
      <c r="J207" s="563">
        <f>J616</f>
        <v>0</v>
      </c>
      <c r="K207" s="563">
        <f>SUM(I207,J207)</f>
        <v>382797</v>
      </c>
      <c r="L207" s="563">
        <f>L616</f>
        <v>382797</v>
      </c>
      <c r="M207" s="563">
        <f>M616</f>
        <v>0</v>
      </c>
      <c r="N207" s="563">
        <f>L207+M207</f>
        <v>382797</v>
      </c>
      <c r="O207" s="546">
        <f>L207*$Q$139</f>
        <v>382797</v>
      </c>
      <c r="P207" s="546">
        <f>M207*$R$139</f>
        <v>0</v>
      </c>
      <c r="Q207" s="627">
        <f>SUM(O207:P207)</f>
        <v>382797</v>
      </c>
      <c r="R207" s="546"/>
      <c r="S207" s="546"/>
      <c r="T207" s="547"/>
    </row>
    <row r="208" spans="1:20" s="548" customFormat="1" ht="34.5" hidden="1" customHeight="1">
      <c r="A208" s="559" t="s">
        <v>208</v>
      </c>
      <c r="B208" s="560" t="s">
        <v>208</v>
      </c>
      <c r="C208" s="1256" t="s">
        <v>132</v>
      </c>
      <c r="D208" s="1257"/>
      <c r="E208" s="1257"/>
      <c r="F208" s="1258"/>
      <c r="G208" s="561">
        <v>8100</v>
      </c>
      <c r="H208" s="562">
        <v>108288</v>
      </c>
      <c r="I208" s="563">
        <f>L208</f>
        <v>2030000</v>
      </c>
      <c r="J208" s="563">
        <f>J618</f>
        <v>0</v>
      </c>
      <c r="K208" s="563">
        <f>K618</f>
        <v>2030000</v>
      </c>
      <c r="L208" s="563">
        <f>L618</f>
        <v>2030000</v>
      </c>
      <c r="M208" s="563">
        <f>M618</f>
        <v>0</v>
      </c>
      <c r="N208" s="563">
        <f>L208+M208</f>
        <v>2030000</v>
      </c>
      <c r="O208" s="546">
        <f>L208*$Q$139</f>
        <v>2030000</v>
      </c>
      <c r="P208" s="546">
        <f>M208*$R$139</f>
        <v>0</v>
      </c>
      <c r="Q208" s="627">
        <f>SUM(O208:P208)</f>
        <v>2030000</v>
      </c>
      <c r="R208" s="546"/>
      <c r="S208" s="546"/>
      <c r="T208" s="547"/>
    </row>
    <row r="209" spans="1:20" s="548" customFormat="1" ht="34.5" hidden="1" customHeight="1">
      <c r="A209" s="559"/>
      <c r="B209" s="560" t="s">
        <v>340</v>
      </c>
      <c r="C209" s="1256" t="s">
        <v>157</v>
      </c>
      <c r="D209" s="1257"/>
      <c r="E209" s="1257"/>
      <c r="F209" s="1258"/>
      <c r="G209" s="604" t="s">
        <v>1321</v>
      </c>
      <c r="H209" s="562" t="s">
        <v>788</v>
      </c>
      <c r="I209" s="563">
        <f>L209</f>
        <v>2911801</v>
      </c>
      <c r="J209" s="563">
        <f>J633</f>
        <v>0</v>
      </c>
      <c r="K209" s="563">
        <f>I209+J209</f>
        <v>2911801</v>
      </c>
      <c r="L209" s="563">
        <f>L633</f>
        <v>2911801</v>
      </c>
      <c r="M209" s="563">
        <f>M633</f>
        <v>0</v>
      </c>
      <c r="N209" s="563">
        <f>L209+M209</f>
        <v>2911801</v>
      </c>
      <c r="O209" s="546"/>
      <c r="P209" s="546"/>
      <c r="Q209" s="627"/>
      <c r="R209" s="546"/>
      <c r="S209" s="546"/>
      <c r="T209" s="547"/>
    </row>
    <row r="210" spans="1:20" s="548" customFormat="1" ht="34.5" hidden="1" customHeight="1">
      <c r="A210" s="559"/>
      <c r="B210" s="560" t="s">
        <v>721</v>
      </c>
      <c r="C210" s="1256" t="s">
        <v>722</v>
      </c>
      <c r="D210" s="1257"/>
      <c r="E210" s="1257"/>
      <c r="F210" s="1258"/>
      <c r="G210" s="604" t="s">
        <v>1321</v>
      </c>
      <c r="H210" s="562" t="s">
        <v>791</v>
      </c>
      <c r="I210" s="563">
        <f>L210</f>
        <v>200000</v>
      </c>
      <c r="J210" s="563">
        <f>J643</f>
        <v>0</v>
      </c>
      <c r="K210" s="563">
        <f>I210+J210</f>
        <v>200000</v>
      </c>
      <c r="L210" s="563">
        <f>L643</f>
        <v>200000</v>
      </c>
      <c r="M210" s="563">
        <f>M643</f>
        <v>0</v>
      </c>
      <c r="N210" s="563">
        <f>L210+M210</f>
        <v>200000</v>
      </c>
      <c r="O210" s="546"/>
      <c r="P210" s="546"/>
      <c r="Q210" s="627"/>
      <c r="R210" s="546"/>
      <c r="S210" s="546"/>
      <c r="T210" s="547"/>
    </row>
    <row r="211" spans="1:20" s="51" customFormat="1" ht="34.5" hidden="1" customHeight="1">
      <c r="A211" s="160" t="s">
        <v>207</v>
      </c>
      <c r="B211" s="220" t="s">
        <v>339</v>
      </c>
      <c r="C211" s="1272" t="s">
        <v>457</v>
      </c>
      <c r="D211" s="1273"/>
      <c r="E211" s="1273"/>
      <c r="F211" s="1274"/>
      <c r="G211" s="211">
        <v>112</v>
      </c>
      <c r="H211" s="457">
        <v>108290</v>
      </c>
      <c r="I211" s="379"/>
      <c r="J211" s="379">
        <f>J630</f>
        <v>0</v>
      </c>
      <c r="K211" s="379">
        <f>SUM(I211:J211)</f>
        <v>0</v>
      </c>
      <c r="L211" s="379"/>
      <c r="M211" s="379">
        <f>M630</f>
        <v>0</v>
      </c>
      <c r="N211" s="379">
        <f>SUM(L211:M211)</f>
        <v>0</v>
      </c>
      <c r="O211" s="36">
        <f>L211*$Q$139</f>
        <v>0</v>
      </c>
      <c r="P211" s="36">
        <f>M211*$R$139</f>
        <v>0</v>
      </c>
      <c r="Q211" s="631">
        <f>SUM(O211:P211)</f>
        <v>0</v>
      </c>
      <c r="R211" s="28">
        <f>L207+L211+L208</f>
        <v>2412797</v>
      </c>
      <c r="S211" s="28">
        <f>M207+M211+M208</f>
        <v>0</v>
      </c>
      <c r="T211" s="29"/>
    </row>
    <row r="212" spans="1:20" s="51" customFormat="1" ht="66.75" hidden="1" customHeight="1">
      <c r="A212" s="161"/>
      <c r="B212" s="212" t="s">
        <v>824</v>
      </c>
      <c r="C212" s="214" t="s">
        <v>825</v>
      </c>
      <c r="D212" s="215"/>
      <c r="E212" s="215"/>
      <c r="F212" s="216"/>
      <c r="G212" s="213">
        <v>112</v>
      </c>
      <c r="H212" s="460" t="s">
        <v>921</v>
      </c>
      <c r="I212" s="374">
        <v>0</v>
      </c>
      <c r="J212" s="374">
        <v>0</v>
      </c>
      <c r="K212" s="374">
        <v>0</v>
      </c>
      <c r="L212" s="374">
        <v>0</v>
      </c>
      <c r="M212" s="374">
        <v>0</v>
      </c>
      <c r="N212" s="374">
        <v>0</v>
      </c>
      <c r="O212" s="36"/>
      <c r="P212" s="36"/>
      <c r="Q212" s="631"/>
      <c r="R212" s="28"/>
      <c r="S212" s="28"/>
      <c r="T212" s="29"/>
    </row>
    <row r="213" spans="1:20" s="571" customFormat="1" ht="34.5" hidden="1" customHeight="1">
      <c r="A213" s="564"/>
      <c r="B213" s="565"/>
      <c r="C213" s="1259" t="s">
        <v>211</v>
      </c>
      <c r="D213" s="1260"/>
      <c r="E213" s="1260"/>
      <c r="F213" s="1261"/>
      <c r="G213" s="566"/>
      <c r="H213" s="567"/>
      <c r="I213" s="568">
        <f>L213</f>
        <v>510386</v>
      </c>
      <c r="J213" s="568">
        <f t="shared" ref="J213:Q213" si="70">SUM(J214:J217)</f>
        <v>0</v>
      </c>
      <c r="K213" s="568">
        <f>I213+J213</f>
        <v>510386</v>
      </c>
      <c r="L213" s="568">
        <f>SUM(L214:L218)</f>
        <v>510386</v>
      </c>
      <c r="M213" s="568">
        <f t="shared" si="70"/>
        <v>0</v>
      </c>
      <c r="N213" s="568">
        <f t="shared" si="70"/>
        <v>506386</v>
      </c>
      <c r="O213" s="569">
        <f t="shared" si="70"/>
        <v>506386</v>
      </c>
      <c r="P213" s="569">
        <f t="shared" si="70"/>
        <v>0</v>
      </c>
      <c r="Q213" s="626">
        <f t="shared" si="70"/>
        <v>506386</v>
      </c>
      <c r="R213" s="569"/>
      <c r="S213" s="569"/>
      <c r="T213" s="570"/>
    </row>
    <row r="214" spans="1:20" s="548" customFormat="1" ht="34.5" hidden="1" customHeight="1">
      <c r="A214" s="559" t="s">
        <v>188</v>
      </c>
      <c r="B214" s="560" t="s">
        <v>188</v>
      </c>
      <c r="C214" s="1256" t="s">
        <v>8</v>
      </c>
      <c r="D214" s="1257"/>
      <c r="E214" s="1257"/>
      <c r="F214" s="1258"/>
      <c r="G214" s="561">
        <v>8100</v>
      </c>
      <c r="H214" s="562">
        <v>108288</v>
      </c>
      <c r="I214" s="563">
        <f t="shared" ref="I214:J224" si="71">L214</f>
        <v>385381</v>
      </c>
      <c r="J214" s="563">
        <f>SUM(J667)</f>
        <v>0</v>
      </c>
      <c r="K214" s="563">
        <f>SUM(I214,J214)</f>
        <v>385381</v>
      </c>
      <c r="L214" s="563">
        <f>SUM(L667)</f>
        <v>385381</v>
      </c>
      <c r="M214" s="563">
        <f>SUM(M667)</f>
        <v>0</v>
      </c>
      <c r="N214" s="563">
        <f>L214+M214</f>
        <v>385381</v>
      </c>
      <c r="O214" s="546">
        <f>L214*$Q$139</f>
        <v>385381</v>
      </c>
      <c r="P214" s="546">
        <f>M214*$R$139</f>
        <v>0</v>
      </c>
      <c r="Q214" s="627">
        <f>SUM(O214:P214)</f>
        <v>385381</v>
      </c>
      <c r="R214" s="546"/>
      <c r="S214" s="546"/>
      <c r="T214" s="547"/>
    </row>
    <row r="215" spans="1:20" s="548" customFormat="1" ht="34.5" hidden="1" customHeight="1">
      <c r="A215" s="559" t="s">
        <v>1</v>
      </c>
      <c r="B215" s="560" t="s">
        <v>1</v>
      </c>
      <c r="C215" s="1256" t="s">
        <v>342</v>
      </c>
      <c r="D215" s="1257"/>
      <c r="E215" s="1257"/>
      <c r="F215" s="1258"/>
      <c r="G215" s="561">
        <v>8100</v>
      </c>
      <c r="H215" s="562">
        <v>108288</v>
      </c>
      <c r="I215" s="563">
        <f t="shared" si="71"/>
        <v>61005</v>
      </c>
      <c r="J215" s="563">
        <f>J670</f>
        <v>0</v>
      </c>
      <c r="K215" s="563">
        <f>K670</f>
        <v>61005</v>
      </c>
      <c r="L215" s="563">
        <f>L670</f>
        <v>61005</v>
      </c>
      <c r="M215" s="563">
        <f>M670</f>
        <v>0</v>
      </c>
      <c r="N215" s="563">
        <f>L215+M215</f>
        <v>61005</v>
      </c>
      <c r="O215" s="546">
        <f>L215*$Q$139</f>
        <v>61005</v>
      </c>
      <c r="P215" s="546">
        <f>M215*$R$139</f>
        <v>0</v>
      </c>
      <c r="Q215" s="627">
        <f>SUM(O215:P215)</f>
        <v>61005</v>
      </c>
      <c r="R215" s="546"/>
      <c r="S215" s="546"/>
      <c r="T215" s="547"/>
    </row>
    <row r="216" spans="1:20" ht="35.25" hidden="1" customHeight="1">
      <c r="A216" s="160" t="s">
        <v>1</v>
      </c>
      <c r="B216" s="274" t="s">
        <v>339</v>
      </c>
      <c r="C216" s="1276" t="s">
        <v>457</v>
      </c>
      <c r="D216" s="1277"/>
      <c r="E216" s="1277"/>
      <c r="F216" s="1278"/>
      <c r="G216" s="561">
        <v>8100</v>
      </c>
      <c r="H216" s="461">
        <v>108290</v>
      </c>
      <c r="I216" s="409">
        <f t="shared" si="71"/>
        <v>0</v>
      </c>
      <c r="J216" s="428">
        <f>J672</f>
        <v>0</v>
      </c>
      <c r="K216" s="374">
        <f>K672</f>
        <v>0</v>
      </c>
      <c r="L216" s="374"/>
      <c r="M216" s="374">
        <f>M672</f>
        <v>0</v>
      </c>
      <c r="N216" s="374">
        <f>N672</f>
        <v>0</v>
      </c>
      <c r="O216" s="36">
        <f>L216*$Q$139</f>
        <v>0</v>
      </c>
      <c r="P216" s="36">
        <f>M216*$R$139</f>
        <v>0</v>
      </c>
      <c r="Q216" s="631">
        <f>SUM(O216:P216)</f>
        <v>0</v>
      </c>
    </row>
    <row r="217" spans="1:20" s="548" customFormat="1" ht="34.5" hidden="1" customHeight="1">
      <c r="A217" s="559" t="s">
        <v>534</v>
      </c>
      <c r="B217" s="560" t="s">
        <v>534</v>
      </c>
      <c r="C217" s="1256" t="s">
        <v>530</v>
      </c>
      <c r="D217" s="1257"/>
      <c r="E217" s="1257"/>
      <c r="F217" s="1258"/>
      <c r="G217" s="561">
        <v>8100</v>
      </c>
      <c r="H217" s="562" t="s">
        <v>782</v>
      </c>
      <c r="I217" s="563">
        <f t="shared" si="71"/>
        <v>60000</v>
      </c>
      <c r="J217" s="563">
        <f>J675</f>
        <v>0</v>
      </c>
      <c r="K217" s="563">
        <f>K675</f>
        <v>60000</v>
      </c>
      <c r="L217" s="563">
        <f>L675</f>
        <v>60000</v>
      </c>
      <c r="M217" s="563">
        <f>M675</f>
        <v>0</v>
      </c>
      <c r="N217" s="563">
        <f>L217+M217</f>
        <v>60000</v>
      </c>
      <c r="O217" s="546">
        <f>L217*$Q$139</f>
        <v>60000</v>
      </c>
      <c r="P217" s="546">
        <f>M217*$R$139</f>
        <v>0</v>
      </c>
      <c r="Q217" s="627">
        <f>SUM(O217:P217)</f>
        <v>60000</v>
      </c>
      <c r="R217" s="546"/>
      <c r="S217" s="546"/>
      <c r="T217" s="547"/>
    </row>
    <row r="218" spans="1:20" s="548" customFormat="1" ht="34.5" hidden="1" customHeight="1">
      <c r="A218" s="559"/>
      <c r="B218" s="560" t="s">
        <v>953</v>
      </c>
      <c r="C218" s="1256" t="s">
        <v>955</v>
      </c>
      <c r="D218" s="1257"/>
      <c r="E218" s="1257"/>
      <c r="F218" s="1258"/>
      <c r="G218" s="561">
        <v>8100</v>
      </c>
      <c r="H218" s="562">
        <v>138152</v>
      </c>
      <c r="I218" s="563">
        <f t="shared" si="71"/>
        <v>4000</v>
      </c>
      <c r="J218" s="563">
        <f>M218</f>
        <v>0</v>
      </c>
      <c r="K218" s="563">
        <f>I218+J218</f>
        <v>4000</v>
      </c>
      <c r="L218" s="563">
        <f>L677</f>
        <v>4000</v>
      </c>
      <c r="M218" s="563">
        <f>M677</f>
        <v>0</v>
      </c>
      <c r="N218" s="563">
        <f>L218+M218</f>
        <v>4000</v>
      </c>
      <c r="O218" s="546"/>
      <c r="P218" s="546"/>
      <c r="Q218" s="627"/>
      <c r="R218" s="546"/>
      <c r="S218" s="546"/>
      <c r="T218" s="547"/>
    </row>
    <row r="219" spans="1:20" s="571" customFormat="1" ht="34.5" hidden="1" customHeight="1">
      <c r="A219" s="564"/>
      <c r="B219" s="565"/>
      <c r="C219" s="1259" t="s">
        <v>939</v>
      </c>
      <c r="D219" s="1260"/>
      <c r="E219" s="1260"/>
      <c r="F219" s="1261"/>
      <c r="G219" s="566"/>
      <c r="H219" s="567"/>
      <c r="I219" s="568">
        <f>SUM(I220:I221)</f>
        <v>22910877</v>
      </c>
      <c r="J219" s="568">
        <f t="shared" ref="J219:Q219" si="72">SUM(J220:J221)</f>
        <v>0</v>
      </c>
      <c r="K219" s="568">
        <f t="shared" si="72"/>
        <v>22910877</v>
      </c>
      <c r="L219" s="568">
        <f t="shared" si="72"/>
        <v>22910877</v>
      </c>
      <c r="M219" s="568">
        <f t="shared" si="72"/>
        <v>0</v>
      </c>
      <c r="N219" s="568">
        <f t="shared" si="72"/>
        <v>22910877</v>
      </c>
      <c r="O219" s="569">
        <f t="shared" si="72"/>
        <v>22910877</v>
      </c>
      <c r="P219" s="569">
        <f t="shared" si="72"/>
        <v>0</v>
      </c>
      <c r="Q219" s="626">
        <f t="shared" si="72"/>
        <v>22910877</v>
      </c>
      <c r="R219" s="569"/>
      <c r="S219" s="569"/>
      <c r="T219" s="570"/>
    </row>
    <row r="220" spans="1:20" s="548" customFormat="1" ht="34.5" hidden="1" customHeight="1">
      <c r="A220" s="559" t="s">
        <v>340</v>
      </c>
      <c r="B220" s="560" t="s">
        <v>340</v>
      </c>
      <c r="C220" s="1256" t="s">
        <v>157</v>
      </c>
      <c r="D220" s="1257"/>
      <c r="E220" s="1257"/>
      <c r="F220" s="1258"/>
      <c r="G220" s="604" t="s">
        <v>1321</v>
      </c>
      <c r="H220" s="562" t="s">
        <v>788</v>
      </c>
      <c r="I220" s="563">
        <f t="shared" si="71"/>
        <v>10433800</v>
      </c>
      <c r="J220" s="563">
        <f>J691</f>
        <v>0</v>
      </c>
      <c r="K220" s="563">
        <f>K691</f>
        <v>10433800</v>
      </c>
      <c r="L220" s="563">
        <f>L691</f>
        <v>10433800</v>
      </c>
      <c r="M220" s="563">
        <f>M691</f>
        <v>0</v>
      </c>
      <c r="N220" s="563">
        <f>L220+M220</f>
        <v>10433800</v>
      </c>
      <c r="O220" s="546">
        <f>L220*$Q$139</f>
        <v>10433800</v>
      </c>
      <c r="P220" s="546">
        <f>M220*$R$139</f>
        <v>0</v>
      </c>
      <c r="Q220" s="627">
        <f>SUM(O220:P220)</f>
        <v>10433800</v>
      </c>
      <c r="R220" s="546"/>
      <c r="S220" s="546"/>
      <c r="T220" s="547"/>
    </row>
    <row r="221" spans="1:20" s="548" customFormat="1" ht="34.5" hidden="1" customHeight="1">
      <c r="A221" s="559" t="s">
        <v>244</v>
      </c>
      <c r="B221" s="560" t="s">
        <v>721</v>
      </c>
      <c r="C221" s="1256" t="s">
        <v>722</v>
      </c>
      <c r="D221" s="1257"/>
      <c r="E221" s="1257"/>
      <c r="F221" s="1258"/>
      <c r="G221" s="604" t="s">
        <v>1321</v>
      </c>
      <c r="H221" s="562" t="s">
        <v>791</v>
      </c>
      <c r="I221" s="563">
        <f t="shared" si="71"/>
        <v>12477077</v>
      </c>
      <c r="J221" s="563">
        <f>J707</f>
        <v>0</v>
      </c>
      <c r="K221" s="563">
        <f>K707</f>
        <v>12477077</v>
      </c>
      <c r="L221" s="563">
        <f>L707</f>
        <v>12477077</v>
      </c>
      <c r="M221" s="563">
        <f>M707</f>
        <v>0</v>
      </c>
      <c r="N221" s="563">
        <f>L221+M221</f>
        <v>12477077</v>
      </c>
      <c r="O221" s="546">
        <f>L221*$Q$139</f>
        <v>12477077</v>
      </c>
      <c r="P221" s="546">
        <f>M221*$R$139</f>
        <v>0</v>
      </c>
      <c r="Q221" s="627">
        <f>SUM(O221:P221)</f>
        <v>12477077</v>
      </c>
      <c r="R221" s="546"/>
      <c r="S221" s="546"/>
      <c r="T221" s="547"/>
    </row>
    <row r="222" spans="1:20" s="571" customFormat="1" ht="34.5" hidden="1" customHeight="1">
      <c r="A222" s="564"/>
      <c r="B222" s="565"/>
      <c r="C222" s="1259" t="s">
        <v>338</v>
      </c>
      <c r="D222" s="1260"/>
      <c r="E222" s="1260"/>
      <c r="F222" s="1261"/>
      <c r="G222" s="566"/>
      <c r="H222" s="567"/>
      <c r="I222" s="568">
        <f>SUM(I223:I225)</f>
        <v>90000</v>
      </c>
      <c r="J222" s="568">
        <f t="shared" ref="J222:Q222" si="73">SUM(J223:J225)</f>
        <v>0</v>
      </c>
      <c r="K222" s="568">
        <f t="shared" si="73"/>
        <v>90000</v>
      </c>
      <c r="L222" s="568">
        <f t="shared" si="73"/>
        <v>90000</v>
      </c>
      <c r="M222" s="568">
        <f>SUM(M223:M224)</f>
        <v>0</v>
      </c>
      <c r="N222" s="568">
        <f t="shared" si="73"/>
        <v>100000</v>
      </c>
      <c r="O222" s="569">
        <f t="shared" si="73"/>
        <v>90000</v>
      </c>
      <c r="P222" s="569">
        <f t="shared" si="73"/>
        <v>10000</v>
      </c>
      <c r="Q222" s="626">
        <f t="shared" si="73"/>
        <v>100000</v>
      </c>
      <c r="R222" s="569"/>
      <c r="S222" s="569"/>
      <c r="T222" s="570"/>
    </row>
    <row r="223" spans="1:20" s="548" customFormat="1" ht="34.5" hidden="1" customHeight="1">
      <c r="A223" s="559" t="s">
        <v>188</v>
      </c>
      <c r="B223" s="560" t="s">
        <v>188</v>
      </c>
      <c r="C223" s="1256" t="s">
        <v>8</v>
      </c>
      <c r="D223" s="1257"/>
      <c r="E223" s="1257"/>
      <c r="F223" s="1258"/>
      <c r="G223" s="561">
        <v>8100</v>
      </c>
      <c r="H223" s="562">
        <v>108288</v>
      </c>
      <c r="I223" s="563">
        <f t="shared" si="71"/>
        <v>72000</v>
      </c>
      <c r="J223" s="563">
        <f t="shared" si="71"/>
        <v>0</v>
      </c>
      <c r="K223" s="563">
        <f>SUM(K742)</f>
        <v>72000</v>
      </c>
      <c r="L223" s="563">
        <f>SUM(L742)</f>
        <v>72000</v>
      </c>
      <c r="M223" s="563">
        <f>SUM(M742)</f>
        <v>0</v>
      </c>
      <c r="N223" s="563">
        <f>L223+M223</f>
        <v>72000</v>
      </c>
      <c r="O223" s="546">
        <f>L223*$Q$139</f>
        <v>72000</v>
      </c>
      <c r="P223" s="546">
        <f>M223*$R$139</f>
        <v>0</v>
      </c>
      <c r="Q223" s="627">
        <f>SUM(O223:P223)</f>
        <v>72000</v>
      </c>
      <c r="R223" s="546"/>
      <c r="S223" s="546"/>
      <c r="T223" s="547"/>
    </row>
    <row r="224" spans="1:20" s="548" customFormat="1" ht="34.5" hidden="1" customHeight="1">
      <c r="A224" s="559" t="s">
        <v>193</v>
      </c>
      <c r="B224" s="560" t="s">
        <v>193</v>
      </c>
      <c r="C224" s="1256" t="s">
        <v>197</v>
      </c>
      <c r="D224" s="1257"/>
      <c r="E224" s="1257"/>
      <c r="F224" s="1258"/>
      <c r="G224" s="561">
        <v>8100</v>
      </c>
      <c r="H224" s="562" t="s">
        <v>686</v>
      </c>
      <c r="I224" s="563">
        <f t="shared" si="71"/>
        <v>18000</v>
      </c>
      <c r="J224" s="563">
        <f t="shared" si="71"/>
        <v>0</v>
      </c>
      <c r="K224" s="563">
        <f>SUM(K750)</f>
        <v>18000</v>
      </c>
      <c r="L224" s="563">
        <f>SUM(L750)</f>
        <v>18000</v>
      </c>
      <c r="M224" s="563">
        <f>SUM(M750)</f>
        <v>0</v>
      </c>
      <c r="N224" s="563">
        <f>L224+M224</f>
        <v>18000</v>
      </c>
      <c r="O224" s="546">
        <f>L224*$Q$139</f>
        <v>18000</v>
      </c>
      <c r="P224" s="546">
        <f>M224*$R$139</f>
        <v>0</v>
      </c>
      <c r="Q224" s="627">
        <f>SUM(O224:P224)</f>
        <v>18000</v>
      </c>
      <c r="R224" s="546"/>
      <c r="S224" s="546"/>
      <c r="T224" s="547"/>
    </row>
    <row r="225" spans="1:20" s="51" customFormat="1" ht="35.25" hidden="1" customHeight="1">
      <c r="A225" s="160" t="s">
        <v>207</v>
      </c>
      <c r="B225" s="220" t="s">
        <v>339</v>
      </c>
      <c r="C225" s="1272" t="s">
        <v>457</v>
      </c>
      <c r="D225" s="1273"/>
      <c r="E225" s="1273"/>
      <c r="F225" s="1274"/>
      <c r="G225" s="275">
        <v>112</v>
      </c>
      <c r="H225" s="457">
        <v>108290</v>
      </c>
      <c r="I225" s="372"/>
      <c r="J225" s="372">
        <f>SUM(J752)</f>
        <v>0</v>
      </c>
      <c r="K225" s="373">
        <f>SUM(K752)</f>
        <v>0</v>
      </c>
      <c r="L225" s="372"/>
      <c r="M225" s="372">
        <f>SUM(M752)</f>
        <v>10000</v>
      </c>
      <c r="N225" s="373">
        <f>SUM(N752)</f>
        <v>10000</v>
      </c>
      <c r="O225" s="36">
        <f>L225*$Q$139</f>
        <v>0</v>
      </c>
      <c r="P225" s="36">
        <f>M225*$R$139</f>
        <v>10000</v>
      </c>
      <c r="Q225" s="631">
        <f>SUM(O225:P225)</f>
        <v>10000</v>
      </c>
      <c r="R225" s="28"/>
      <c r="S225" s="28"/>
      <c r="T225" s="29"/>
    </row>
    <row r="226" spans="1:20" s="571" customFormat="1" ht="34.5" hidden="1" customHeight="1">
      <c r="A226" s="564"/>
      <c r="B226" s="565"/>
      <c r="C226" s="1259" t="s">
        <v>24</v>
      </c>
      <c r="D226" s="1260"/>
      <c r="E226" s="1260"/>
      <c r="F226" s="1261"/>
      <c r="G226" s="566"/>
      <c r="H226" s="567"/>
      <c r="I226" s="568">
        <f>SUM(I227:I228)</f>
        <v>77577</v>
      </c>
      <c r="J226" s="568">
        <f>SUM(J227:J228)</f>
        <v>0</v>
      </c>
      <c r="K226" s="568">
        <f>SUM(K227:K228)</f>
        <v>77577</v>
      </c>
      <c r="L226" s="568">
        <f t="shared" ref="L226:Q226" si="74">SUM(L227:L228)</f>
        <v>77577</v>
      </c>
      <c r="M226" s="568">
        <f>SUM(M227)</f>
        <v>0</v>
      </c>
      <c r="N226" s="568">
        <f t="shared" si="74"/>
        <v>1477577</v>
      </c>
      <c r="O226" s="569">
        <f t="shared" si="74"/>
        <v>77577</v>
      </c>
      <c r="P226" s="569">
        <f t="shared" si="74"/>
        <v>1400000</v>
      </c>
      <c r="Q226" s="626">
        <f t="shared" si="74"/>
        <v>1477577</v>
      </c>
      <c r="R226" s="569"/>
      <c r="S226" s="569"/>
      <c r="T226" s="570"/>
    </row>
    <row r="227" spans="1:20" s="548" customFormat="1" ht="34.5" hidden="1" customHeight="1">
      <c r="A227" s="559" t="s">
        <v>188</v>
      </c>
      <c r="B227" s="560" t="s">
        <v>188</v>
      </c>
      <c r="C227" s="1256" t="s">
        <v>8</v>
      </c>
      <c r="D227" s="1257"/>
      <c r="E227" s="1257"/>
      <c r="F227" s="1258"/>
      <c r="G227" s="561">
        <v>8100</v>
      </c>
      <c r="H227" s="562">
        <v>108288</v>
      </c>
      <c r="I227" s="563">
        <f>L227</f>
        <v>77577</v>
      </c>
      <c r="J227" s="563">
        <f>M227</f>
        <v>0</v>
      </c>
      <c r="K227" s="563">
        <f>SUM(I227,J227)</f>
        <v>77577</v>
      </c>
      <c r="L227" s="563">
        <f>SUM(L782)</f>
        <v>77577</v>
      </c>
      <c r="M227" s="563">
        <f>SUM(M782)</f>
        <v>0</v>
      </c>
      <c r="N227" s="563">
        <f>L227+M227</f>
        <v>77577</v>
      </c>
      <c r="O227" s="546">
        <f>L227*$Q$139</f>
        <v>77577</v>
      </c>
      <c r="P227" s="546">
        <f>M227*$R$139</f>
        <v>0</v>
      </c>
      <c r="Q227" s="627">
        <f>SUM(O227:P227)</f>
        <v>77577</v>
      </c>
      <c r="R227" s="546"/>
      <c r="S227" s="546"/>
      <c r="T227" s="547"/>
    </row>
    <row r="228" spans="1:20" s="51" customFormat="1" ht="35.25" hidden="1" customHeight="1">
      <c r="A228" s="158" t="s">
        <v>10</v>
      </c>
      <c r="B228" s="276" t="s">
        <v>339</v>
      </c>
      <c r="C228" s="1272" t="s">
        <v>457</v>
      </c>
      <c r="D228" s="1273"/>
      <c r="E228" s="1273"/>
      <c r="F228" s="1274"/>
      <c r="G228" s="275">
        <v>112</v>
      </c>
      <c r="H228" s="461">
        <v>108290</v>
      </c>
      <c r="I228" s="380"/>
      <c r="J228" s="380">
        <f>SUM(J784)</f>
        <v>0</v>
      </c>
      <c r="K228" s="381">
        <f>SUM(I228,J228)</f>
        <v>0</v>
      </c>
      <c r="L228" s="180"/>
      <c r="M228" s="180">
        <f>SUM(M784)</f>
        <v>1400000</v>
      </c>
      <c r="N228" s="181">
        <f>SUM(L228,M228)</f>
        <v>1400000</v>
      </c>
      <c r="O228" s="36">
        <f>L228*$Q$139</f>
        <v>0</v>
      </c>
      <c r="P228" s="36">
        <f>M228*$R$139</f>
        <v>1400000</v>
      </c>
      <c r="Q228" s="631">
        <f>SUM(O228:P228)</f>
        <v>1400000</v>
      </c>
      <c r="R228" s="28"/>
      <c r="S228" s="28"/>
      <c r="T228" s="29"/>
    </row>
    <row r="229" spans="1:20" s="571" customFormat="1" ht="34.5" hidden="1" customHeight="1">
      <c r="A229" s="564"/>
      <c r="B229" s="565"/>
      <c r="C229" s="1259" t="s">
        <v>80</v>
      </c>
      <c r="D229" s="1260"/>
      <c r="E229" s="1260"/>
      <c r="F229" s="1261"/>
      <c r="G229" s="566"/>
      <c r="H229" s="567"/>
      <c r="I229" s="568">
        <f>SUM(I230:I234)</f>
        <v>2343765</v>
      </c>
      <c r="J229" s="568">
        <f t="shared" ref="J229:P229" si="75">SUM(J230:J234)</f>
        <v>0</v>
      </c>
      <c r="K229" s="568">
        <f t="shared" si="75"/>
        <v>2343765</v>
      </c>
      <c r="L229" s="568">
        <f t="shared" si="75"/>
        <v>2343765</v>
      </c>
      <c r="M229" s="568">
        <f t="shared" si="75"/>
        <v>0</v>
      </c>
      <c r="N229" s="568">
        <f t="shared" si="75"/>
        <v>2343765</v>
      </c>
      <c r="O229" s="569">
        <f t="shared" si="75"/>
        <v>2343765</v>
      </c>
      <c r="P229" s="569">
        <f t="shared" si="75"/>
        <v>0</v>
      </c>
      <c r="Q229" s="626">
        <f>SUM(Q230:Q233)</f>
        <v>1083765</v>
      </c>
      <c r="R229" s="569"/>
      <c r="S229" s="569"/>
      <c r="T229" s="570"/>
    </row>
    <row r="230" spans="1:20" s="548" customFormat="1" ht="34.5" hidden="1" customHeight="1">
      <c r="A230" s="559" t="s">
        <v>188</v>
      </c>
      <c r="B230" s="560" t="s">
        <v>188</v>
      </c>
      <c r="C230" s="1256" t="s">
        <v>8</v>
      </c>
      <c r="D230" s="1257"/>
      <c r="E230" s="1257"/>
      <c r="F230" s="1258"/>
      <c r="G230" s="561">
        <v>8100</v>
      </c>
      <c r="H230" s="562">
        <v>108288</v>
      </c>
      <c r="I230" s="563">
        <f t="shared" ref="I230:J244" si="76">L230</f>
        <v>184294</v>
      </c>
      <c r="J230" s="563">
        <f>J810</f>
        <v>0</v>
      </c>
      <c r="K230" s="563">
        <f>K810</f>
        <v>184294</v>
      </c>
      <c r="L230" s="563">
        <f>L810</f>
        <v>184294</v>
      </c>
      <c r="M230" s="563">
        <f>M810</f>
        <v>0</v>
      </c>
      <c r="N230" s="563">
        <f>L230+M230</f>
        <v>184294</v>
      </c>
      <c r="O230" s="546">
        <f>L230*$Q$139</f>
        <v>184294</v>
      </c>
      <c r="P230" s="546">
        <f>M230*$R$139</f>
        <v>0</v>
      </c>
      <c r="Q230" s="627">
        <f>SUM(O230:P230)</f>
        <v>184294</v>
      </c>
      <c r="R230" s="546"/>
      <c r="S230" s="546"/>
      <c r="T230" s="547"/>
    </row>
    <row r="231" spans="1:20" s="548" customFormat="1" ht="34.5" hidden="1" customHeight="1">
      <c r="A231" s="559" t="s">
        <v>193</v>
      </c>
      <c r="B231" s="560" t="s">
        <v>193</v>
      </c>
      <c r="C231" s="1256" t="s">
        <v>197</v>
      </c>
      <c r="D231" s="1257"/>
      <c r="E231" s="1257"/>
      <c r="F231" s="1258"/>
      <c r="G231" s="561">
        <v>8100</v>
      </c>
      <c r="H231" s="562" t="s">
        <v>686</v>
      </c>
      <c r="I231" s="563">
        <f t="shared" si="76"/>
        <v>50000</v>
      </c>
      <c r="J231" s="563">
        <f>J815</f>
        <v>0</v>
      </c>
      <c r="K231" s="563">
        <f>K815</f>
        <v>50000</v>
      </c>
      <c r="L231" s="563">
        <f>L815</f>
        <v>50000</v>
      </c>
      <c r="M231" s="563">
        <f>M815</f>
        <v>0</v>
      </c>
      <c r="N231" s="563">
        <f>L231+M231</f>
        <v>50000</v>
      </c>
      <c r="O231" s="546">
        <f>L231*$Q$139</f>
        <v>50000</v>
      </c>
      <c r="P231" s="546">
        <f>M231*$R$139</f>
        <v>0</v>
      </c>
      <c r="Q231" s="627">
        <f>SUM(O231:P231)</f>
        <v>50000</v>
      </c>
      <c r="R231" s="546"/>
      <c r="S231" s="546"/>
      <c r="T231" s="547"/>
    </row>
    <row r="232" spans="1:20" s="51" customFormat="1" ht="35.25" hidden="1" customHeight="1">
      <c r="A232" s="160" t="s">
        <v>207</v>
      </c>
      <c r="B232" s="220" t="s">
        <v>339</v>
      </c>
      <c r="C232" s="1272" t="s">
        <v>457</v>
      </c>
      <c r="D232" s="1273"/>
      <c r="E232" s="1273"/>
      <c r="F232" s="1274"/>
      <c r="G232" s="561">
        <v>8100</v>
      </c>
      <c r="H232" s="461">
        <v>108290</v>
      </c>
      <c r="I232" s="409">
        <f t="shared" si="76"/>
        <v>0</v>
      </c>
      <c r="J232" s="372">
        <f t="shared" ref="J232:O232" si="77">J817</f>
        <v>0</v>
      </c>
      <c r="K232" s="372">
        <f t="shared" si="77"/>
        <v>0</v>
      </c>
      <c r="L232" s="372">
        <f t="shared" si="77"/>
        <v>0</v>
      </c>
      <c r="M232" s="372">
        <f t="shared" si="77"/>
        <v>0</v>
      </c>
      <c r="N232" s="372">
        <f t="shared" si="77"/>
        <v>0</v>
      </c>
      <c r="O232" s="372">
        <f t="shared" si="77"/>
        <v>0</v>
      </c>
      <c r="P232" s="36">
        <f>M232*$R$139</f>
        <v>0</v>
      </c>
      <c r="Q232" s="631">
        <f>SUM(O232:P232)</f>
        <v>0</v>
      </c>
      <c r="R232" s="28"/>
      <c r="S232" s="28"/>
      <c r="T232" s="29"/>
    </row>
    <row r="233" spans="1:20" s="548" customFormat="1" ht="34.5" hidden="1" customHeight="1">
      <c r="A233" s="559" t="s">
        <v>244</v>
      </c>
      <c r="B233" s="560" t="s">
        <v>244</v>
      </c>
      <c r="C233" s="1256" t="s">
        <v>33</v>
      </c>
      <c r="D233" s="1257"/>
      <c r="E233" s="1257"/>
      <c r="F233" s="1258"/>
      <c r="G233" s="561">
        <v>8100</v>
      </c>
      <c r="H233" s="562">
        <v>108288</v>
      </c>
      <c r="I233" s="563">
        <f t="shared" si="76"/>
        <v>849471</v>
      </c>
      <c r="J233" s="563">
        <f>J821</f>
        <v>0</v>
      </c>
      <c r="K233" s="563">
        <f>K821</f>
        <v>849471</v>
      </c>
      <c r="L233" s="563">
        <f>L821</f>
        <v>849471</v>
      </c>
      <c r="M233" s="563">
        <f>M821</f>
        <v>0</v>
      </c>
      <c r="N233" s="563">
        <f>L233+M233</f>
        <v>849471</v>
      </c>
      <c r="O233" s="546">
        <f>L233*$Q$139</f>
        <v>849471</v>
      </c>
      <c r="P233" s="546">
        <f>M233*$R$139</f>
        <v>0</v>
      </c>
      <c r="Q233" s="627">
        <f>SUM(O233:P233)</f>
        <v>849471</v>
      </c>
      <c r="R233" s="546"/>
      <c r="S233" s="546"/>
      <c r="T233" s="547"/>
    </row>
    <row r="234" spans="1:20" s="548" customFormat="1" ht="34.5" hidden="1" customHeight="1">
      <c r="A234" s="559" t="s">
        <v>244</v>
      </c>
      <c r="B234" s="560" t="s">
        <v>745</v>
      </c>
      <c r="C234" s="1256" t="s">
        <v>728</v>
      </c>
      <c r="D234" s="1257"/>
      <c r="E234" s="1257"/>
      <c r="F234" s="1258"/>
      <c r="G234" s="561">
        <v>8100</v>
      </c>
      <c r="H234" s="562" t="s">
        <v>780</v>
      </c>
      <c r="I234" s="563">
        <f t="shared" si="76"/>
        <v>1260000</v>
      </c>
      <c r="J234" s="563">
        <f t="shared" si="76"/>
        <v>0</v>
      </c>
      <c r="K234" s="563">
        <f>SUM(I234:J234)</f>
        <v>1260000</v>
      </c>
      <c r="L234" s="563">
        <f>L826</f>
        <v>1260000</v>
      </c>
      <c r="M234" s="563">
        <f>M826</f>
        <v>0</v>
      </c>
      <c r="N234" s="563">
        <f>L234+M234</f>
        <v>1260000</v>
      </c>
      <c r="O234" s="546">
        <f>L234*$Q$139</f>
        <v>1260000</v>
      </c>
      <c r="P234" s="546">
        <f>M234*$R$139</f>
        <v>0</v>
      </c>
      <c r="Q234" s="627">
        <f>SUM(O234:P234)</f>
        <v>1260000</v>
      </c>
      <c r="R234" s="546"/>
      <c r="S234" s="546"/>
      <c r="T234" s="547"/>
    </row>
    <row r="235" spans="1:20" s="571" customFormat="1" ht="34.5" hidden="1" customHeight="1">
      <c r="A235" s="564"/>
      <c r="B235" s="565"/>
      <c r="C235" s="1259" t="s">
        <v>146</v>
      </c>
      <c r="D235" s="1260"/>
      <c r="E235" s="1260"/>
      <c r="F235" s="1261"/>
      <c r="G235" s="566"/>
      <c r="H235" s="567"/>
      <c r="I235" s="568">
        <f>SUM(I236:I240)</f>
        <v>144573</v>
      </c>
      <c r="J235" s="568">
        <f>SUM(J237:J240)</f>
        <v>0</v>
      </c>
      <c r="K235" s="568">
        <f>SUM(K236:K240)</f>
        <v>144573</v>
      </c>
      <c r="L235" s="568">
        <f t="shared" ref="L235:Q235" si="78">SUM(L236:L240)</f>
        <v>144573</v>
      </c>
      <c r="M235" s="568">
        <f t="shared" si="78"/>
        <v>0</v>
      </c>
      <c r="N235" s="568">
        <f t="shared" si="78"/>
        <v>144573</v>
      </c>
      <c r="O235" s="569">
        <f t="shared" si="78"/>
        <v>144573</v>
      </c>
      <c r="P235" s="569">
        <f t="shared" si="78"/>
        <v>0</v>
      </c>
      <c r="Q235" s="626">
        <f t="shared" si="78"/>
        <v>137573</v>
      </c>
      <c r="R235" s="569"/>
      <c r="S235" s="569"/>
      <c r="T235" s="570"/>
    </row>
    <row r="236" spans="1:20" s="548" customFormat="1" ht="34.5" hidden="1" customHeight="1">
      <c r="A236" s="559"/>
      <c r="B236" s="560" t="s">
        <v>188</v>
      </c>
      <c r="C236" s="1256" t="s">
        <v>8</v>
      </c>
      <c r="D236" s="1257"/>
      <c r="E236" s="1257"/>
      <c r="F236" s="1258"/>
      <c r="G236" s="561">
        <v>8100</v>
      </c>
      <c r="H236" s="562">
        <v>108288</v>
      </c>
      <c r="I236" s="563">
        <f t="shared" si="76"/>
        <v>10000</v>
      </c>
      <c r="J236" s="563">
        <f t="shared" si="76"/>
        <v>0</v>
      </c>
      <c r="K236" s="563">
        <f>SUM(I236,J236)</f>
        <v>10000</v>
      </c>
      <c r="L236" s="563">
        <f>L846</f>
        <v>10000</v>
      </c>
      <c r="M236" s="563">
        <f>M846</f>
        <v>0</v>
      </c>
      <c r="N236" s="563">
        <f>L236+M236</f>
        <v>10000</v>
      </c>
      <c r="O236" s="546">
        <f>L236*$Q$139</f>
        <v>10000</v>
      </c>
      <c r="P236" s="546">
        <f>M236*$R$139</f>
        <v>0</v>
      </c>
      <c r="Q236" s="627">
        <f>N236*30%</f>
        <v>3000</v>
      </c>
      <c r="R236" s="546"/>
      <c r="S236" s="546"/>
      <c r="T236" s="547"/>
    </row>
    <row r="237" spans="1:20" s="548" customFormat="1" ht="34.5" hidden="1" customHeight="1">
      <c r="A237" s="559" t="s">
        <v>202</v>
      </c>
      <c r="B237" s="560" t="s">
        <v>202</v>
      </c>
      <c r="C237" s="1256" t="s">
        <v>6</v>
      </c>
      <c r="D237" s="1257"/>
      <c r="E237" s="1257"/>
      <c r="F237" s="1258"/>
      <c r="G237" s="561">
        <v>8100</v>
      </c>
      <c r="H237" s="562">
        <v>108288</v>
      </c>
      <c r="I237" s="563">
        <f t="shared" si="76"/>
        <v>114573</v>
      </c>
      <c r="J237" s="563">
        <f t="shared" si="76"/>
        <v>0</v>
      </c>
      <c r="K237" s="563">
        <f>SUM(I237,J237)</f>
        <v>114573</v>
      </c>
      <c r="L237" s="563">
        <f>SUM(L848)</f>
        <v>114573</v>
      </c>
      <c r="M237" s="563">
        <f>SUM(M848)</f>
        <v>0</v>
      </c>
      <c r="N237" s="563">
        <f>L237+M237</f>
        <v>114573</v>
      </c>
      <c r="O237" s="546">
        <f>L237*$Q$139</f>
        <v>114573</v>
      </c>
      <c r="P237" s="546">
        <f>M237*$R$139</f>
        <v>0</v>
      </c>
      <c r="Q237" s="627">
        <f>SUM(O237:P237)</f>
        <v>114573</v>
      </c>
      <c r="R237" s="546"/>
      <c r="S237" s="546"/>
      <c r="T237" s="547"/>
    </row>
    <row r="238" spans="1:20" s="548" customFormat="1" ht="34.5" hidden="1" customHeight="1">
      <c r="A238" s="559" t="s">
        <v>193</v>
      </c>
      <c r="B238" s="560" t="s">
        <v>193</v>
      </c>
      <c r="C238" s="1256" t="s">
        <v>197</v>
      </c>
      <c r="D238" s="1257"/>
      <c r="E238" s="1257"/>
      <c r="F238" s="1258"/>
      <c r="G238" s="561">
        <v>8100</v>
      </c>
      <c r="H238" s="562" t="s">
        <v>686</v>
      </c>
      <c r="I238" s="563">
        <f t="shared" si="76"/>
        <v>20000</v>
      </c>
      <c r="J238" s="563">
        <f t="shared" si="76"/>
        <v>0</v>
      </c>
      <c r="K238" s="563">
        <f>SUM(I238,J238)</f>
        <v>20000</v>
      </c>
      <c r="L238" s="563">
        <f>SUM(L853)</f>
        <v>20000</v>
      </c>
      <c r="M238" s="563">
        <f>SUM(M853)</f>
        <v>0</v>
      </c>
      <c r="N238" s="563">
        <f>L238+M238</f>
        <v>20000</v>
      </c>
      <c r="O238" s="546">
        <f>L238*$Q$139</f>
        <v>20000</v>
      </c>
      <c r="P238" s="546">
        <f>M238*$R$139</f>
        <v>0</v>
      </c>
      <c r="Q238" s="627">
        <f>SUM(O238:P238)</f>
        <v>20000</v>
      </c>
      <c r="R238" s="546"/>
      <c r="S238" s="546"/>
      <c r="T238" s="547"/>
    </row>
    <row r="239" spans="1:20" s="51" customFormat="1" ht="35.25" hidden="1" customHeight="1">
      <c r="A239" s="160" t="s">
        <v>207</v>
      </c>
      <c r="B239" s="220" t="s">
        <v>339</v>
      </c>
      <c r="C239" s="1272" t="s">
        <v>457</v>
      </c>
      <c r="D239" s="1273"/>
      <c r="E239" s="1273"/>
      <c r="F239" s="1274"/>
      <c r="G239" s="275">
        <v>112</v>
      </c>
      <c r="H239" s="461">
        <v>108290</v>
      </c>
      <c r="I239" s="409">
        <f t="shared" si="76"/>
        <v>0</v>
      </c>
      <c r="J239" s="372">
        <f>SUM(J855)</f>
        <v>0</v>
      </c>
      <c r="K239" s="373">
        <f>SUM(I239,J239)</f>
        <v>0</v>
      </c>
      <c r="L239" s="177"/>
      <c r="M239" s="177">
        <f>SUM(M855)</f>
        <v>0</v>
      </c>
      <c r="N239" s="178">
        <f>SUM(L239,M239)</f>
        <v>0</v>
      </c>
      <c r="O239" s="36">
        <f>L239*$Q$139</f>
        <v>0</v>
      </c>
      <c r="P239" s="36">
        <f>M239*$R$139</f>
        <v>0</v>
      </c>
      <c r="Q239" s="631">
        <f>SUM(O239:P239)</f>
        <v>0</v>
      </c>
      <c r="R239" s="28"/>
      <c r="S239" s="28"/>
      <c r="T239" s="29"/>
    </row>
    <row r="240" spans="1:20" s="51" customFormat="1" ht="35.25" hidden="1" customHeight="1">
      <c r="A240" s="159" t="s">
        <v>340</v>
      </c>
      <c r="B240" s="277" t="s">
        <v>721</v>
      </c>
      <c r="C240" s="1276" t="s">
        <v>722</v>
      </c>
      <c r="D240" s="1277"/>
      <c r="E240" s="1277"/>
      <c r="F240" s="1278"/>
      <c r="G240" s="275">
        <v>100</v>
      </c>
      <c r="H240" s="461" t="s">
        <v>791</v>
      </c>
      <c r="I240" s="409">
        <f t="shared" si="76"/>
        <v>0</v>
      </c>
      <c r="J240" s="374"/>
      <c r="K240" s="373">
        <f>SUM(I240,J240)</f>
        <v>0</v>
      </c>
      <c r="L240" s="179">
        <f>L858</f>
        <v>0</v>
      </c>
      <c r="M240" s="179"/>
      <c r="N240" s="178">
        <f>SUM(L240,M240)</f>
        <v>0</v>
      </c>
      <c r="O240" s="36">
        <f>L240*$Q$139</f>
        <v>0</v>
      </c>
      <c r="P240" s="36">
        <f>M240*$R$139</f>
        <v>0</v>
      </c>
      <c r="Q240" s="631">
        <f>SUM(O240:P240)</f>
        <v>0</v>
      </c>
      <c r="R240" s="28"/>
      <c r="S240" s="28"/>
      <c r="T240" s="29"/>
    </row>
    <row r="241" spans="1:20" s="571" customFormat="1" ht="34.5" hidden="1" customHeight="1">
      <c r="A241" s="564"/>
      <c r="B241" s="565"/>
      <c r="C241" s="1259" t="s">
        <v>212</v>
      </c>
      <c r="D241" s="1260"/>
      <c r="E241" s="1260"/>
      <c r="F241" s="1261"/>
      <c r="G241" s="566"/>
      <c r="H241" s="567"/>
      <c r="I241" s="568">
        <f>SUM(I242)</f>
        <v>1022683</v>
      </c>
      <c r="J241" s="568">
        <f>SUM(J242)</f>
        <v>0</v>
      </c>
      <c r="K241" s="568">
        <f>SUM(K242)</f>
        <v>1022683</v>
      </c>
      <c r="L241" s="568">
        <f t="shared" ref="L241:Q241" si="79">SUM(L242)</f>
        <v>1022683</v>
      </c>
      <c r="M241" s="568">
        <f t="shared" si="79"/>
        <v>0</v>
      </c>
      <c r="N241" s="568">
        <f t="shared" si="79"/>
        <v>1022683</v>
      </c>
      <c r="O241" s="569">
        <f t="shared" si="79"/>
        <v>1022683</v>
      </c>
      <c r="P241" s="569">
        <f t="shared" si="79"/>
        <v>0</v>
      </c>
      <c r="Q241" s="626">
        <f t="shared" si="79"/>
        <v>1022683</v>
      </c>
      <c r="R241" s="569"/>
      <c r="S241" s="569"/>
      <c r="T241" s="570"/>
    </row>
    <row r="242" spans="1:20" s="548" customFormat="1" ht="34.5" hidden="1" customHeight="1">
      <c r="A242" s="559" t="s">
        <v>339</v>
      </c>
      <c r="B242" s="560" t="s">
        <v>188</v>
      </c>
      <c r="C242" s="1256" t="s">
        <v>728</v>
      </c>
      <c r="D242" s="1257"/>
      <c r="E242" s="1257"/>
      <c r="F242" s="1258"/>
      <c r="G242" s="561">
        <v>8100</v>
      </c>
      <c r="H242" s="562" t="s">
        <v>780</v>
      </c>
      <c r="I242" s="563">
        <f t="shared" si="76"/>
        <v>1022683</v>
      </c>
      <c r="J242" s="563">
        <f>SUM(J882)</f>
        <v>0</v>
      </c>
      <c r="K242" s="563">
        <f>SUM(I242,J242)</f>
        <v>1022683</v>
      </c>
      <c r="L242" s="563">
        <f>SUM(L882)</f>
        <v>1022683</v>
      </c>
      <c r="M242" s="563">
        <f>SUM(M882)</f>
        <v>0</v>
      </c>
      <c r="N242" s="563">
        <f>L242+M242</f>
        <v>1022683</v>
      </c>
      <c r="O242" s="546">
        <f>L242*$Q$139</f>
        <v>1022683</v>
      </c>
      <c r="P242" s="546">
        <f>M242*$R$139</f>
        <v>0</v>
      </c>
      <c r="Q242" s="627">
        <f>SUM(O242:P242)</f>
        <v>1022683</v>
      </c>
      <c r="R242" s="546"/>
      <c r="S242" s="546"/>
      <c r="T242" s="547"/>
    </row>
    <row r="243" spans="1:20" s="571" customFormat="1" ht="34.5" hidden="1" customHeight="1">
      <c r="A243" s="564"/>
      <c r="B243" s="565"/>
      <c r="C243" s="1259" t="s">
        <v>150</v>
      </c>
      <c r="D243" s="1260"/>
      <c r="E243" s="1260"/>
      <c r="F243" s="1261"/>
      <c r="G243" s="566"/>
      <c r="H243" s="567"/>
      <c r="I243" s="568">
        <f t="shared" ref="I243:Q243" si="80">SUM(I244:I245)</f>
        <v>375000</v>
      </c>
      <c r="J243" s="568">
        <f t="shared" si="80"/>
        <v>0</v>
      </c>
      <c r="K243" s="568">
        <f t="shared" si="80"/>
        <v>375000</v>
      </c>
      <c r="L243" s="568">
        <f>SUM(L244:L245)</f>
        <v>375000</v>
      </c>
      <c r="M243" s="568">
        <f>SUM(M244:M245)</f>
        <v>0</v>
      </c>
      <c r="N243" s="568">
        <f t="shared" si="80"/>
        <v>375000</v>
      </c>
      <c r="O243" s="569">
        <f t="shared" si="80"/>
        <v>375000</v>
      </c>
      <c r="P243" s="569">
        <f t="shared" si="80"/>
        <v>0</v>
      </c>
      <c r="Q243" s="626">
        <f t="shared" si="80"/>
        <v>375000</v>
      </c>
      <c r="R243" s="569"/>
      <c r="S243" s="569"/>
      <c r="T243" s="570"/>
    </row>
    <row r="244" spans="1:20" s="548" customFormat="1" ht="34.5" hidden="1" customHeight="1">
      <c r="A244" s="559" t="s">
        <v>188</v>
      </c>
      <c r="B244" s="560" t="s">
        <v>188</v>
      </c>
      <c r="C244" s="1256" t="s">
        <v>63</v>
      </c>
      <c r="D244" s="1257"/>
      <c r="E244" s="1257"/>
      <c r="F244" s="1258"/>
      <c r="G244" s="561">
        <v>8100</v>
      </c>
      <c r="H244" s="562">
        <v>108288</v>
      </c>
      <c r="I244" s="563">
        <f t="shared" si="76"/>
        <v>375000</v>
      </c>
      <c r="J244" s="563">
        <f t="shared" si="76"/>
        <v>0</v>
      </c>
      <c r="K244" s="563">
        <f>SUM(I244,J244)</f>
        <v>375000</v>
      </c>
      <c r="L244" s="563">
        <f>SUM(L911)</f>
        <v>375000</v>
      </c>
      <c r="M244" s="563">
        <f>SUM(M911)</f>
        <v>0</v>
      </c>
      <c r="N244" s="563">
        <f>L244+M244</f>
        <v>375000</v>
      </c>
      <c r="O244" s="546">
        <f>L244*$Q$139</f>
        <v>375000</v>
      </c>
      <c r="P244" s="546">
        <f>M244*$R$139</f>
        <v>0</v>
      </c>
      <c r="Q244" s="627">
        <f>SUM(O244:P244)</f>
        <v>375000</v>
      </c>
      <c r="R244" s="546"/>
      <c r="S244" s="546"/>
      <c r="T244" s="547"/>
    </row>
    <row r="245" spans="1:20" s="51" customFormat="1" ht="35.25" hidden="1" customHeight="1">
      <c r="A245" s="157" t="s">
        <v>188</v>
      </c>
      <c r="B245" s="220" t="s">
        <v>339</v>
      </c>
      <c r="C245" s="1272" t="s">
        <v>457</v>
      </c>
      <c r="D245" s="1273"/>
      <c r="E245" s="1273"/>
      <c r="F245" s="1274"/>
      <c r="G245" s="275">
        <v>112</v>
      </c>
      <c r="H245" s="461" t="s">
        <v>795</v>
      </c>
      <c r="I245" s="372">
        <f>I917</f>
        <v>0</v>
      </c>
      <c r="J245" s="372">
        <f>J917</f>
        <v>0</v>
      </c>
      <c r="K245" s="372">
        <f>SUM(I245,J245)</f>
        <v>0</v>
      </c>
      <c r="L245" s="372">
        <f>L917</f>
        <v>0</v>
      </c>
      <c r="M245" s="372">
        <f>M917</f>
        <v>0</v>
      </c>
      <c r="N245" s="372">
        <f>SUM(L245,M245)</f>
        <v>0</v>
      </c>
      <c r="O245" s="372">
        <f>L245*$Q$139</f>
        <v>0</v>
      </c>
      <c r="P245" s="372">
        <f>M245*$R$139</f>
        <v>0</v>
      </c>
      <c r="Q245" s="632">
        <f>SUM(O245:P245)</f>
        <v>0</v>
      </c>
      <c r="R245" s="28"/>
      <c r="S245" s="28"/>
      <c r="T245" s="29"/>
    </row>
    <row r="246" spans="1:20" s="51" customFormat="1" ht="20.100000000000001" hidden="1" customHeight="1">
      <c r="A246" s="163"/>
      <c r="B246" s="279"/>
      <c r="C246" s="232"/>
      <c r="D246" s="232"/>
      <c r="E246" s="232"/>
      <c r="F246" s="234"/>
      <c r="G246" s="234"/>
      <c r="H246" s="234"/>
      <c r="I246" s="234"/>
      <c r="J246" s="234"/>
      <c r="K246" s="234"/>
      <c r="L246" s="235"/>
      <c r="M246" s="235"/>
      <c r="N246" s="235"/>
      <c r="O246" s="28"/>
      <c r="P246" s="28"/>
      <c r="Q246" s="312"/>
      <c r="R246" s="28"/>
      <c r="S246" s="28"/>
      <c r="T246" s="29"/>
    </row>
    <row r="247" spans="1:20" s="51" customFormat="1" ht="21.95" hidden="1" customHeight="1" thickBot="1">
      <c r="A247" s="52"/>
      <c r="B247" s="52"/>
      <c r="C247" s="62"/>
      <c r="D247" s="62"/>
      <c r="E247" s="62"/>
      <c r="F247" s="62"/>
      <c r="G247" s="63"/>
      <c r="H247" s="63"/>
      <c r="I247" s="63"/>
      <c r="J247" s="63"/>
      <c r="K247" s="63"/>
      <c r="L247" s="64"/>
      <c r="M247" s="64"/>
      <c r="N247" s="64"/>
      <c r="O247" s="28"/>
      <c r="P247" s="28"/>
      <c r="Q247" s="312"/>
      <c r="R247" s="28"/>
      <c r="S247" s="28"/>
      <c r="T247" s="29"/>
    </row>
    <row r="248" spans="1:20" s="51" customFormat="1" ht="33" hidden="1" customHeight="1" thickBot="1">
      <c r="A248" s="41"/>
      <c r="B248" s="41"/>
      <c r="C248" s="1204" t="s">
        <v>51</v>
      </c>
      <c r="D248" s="1204"/>
      <c r="E248" s="1204"/>
      <c r="F248" s="1204"/>
      <c r="G248" s="11"/>
      <c r="H248" s="1243" t="s">
        <v>75</v>
      </c>
      <c r="I248" s="1244"/>
      <c r="J248" s="1244"/>
      <c r="K248" s="1245"/>
      <c r="L248" s="348"/>
      <c r="M248" s="348"/>
      <c r="N248" s="348"/>
      <c r="O248" s="28"/>
      <c r="P248" s="28"/>
      <c r="Q248" s="312"/>
      <c r="R248" s="28"/>
      <c r="S248" s="28"/>
      <c r="T248" s="29"/>
    </row>
    <row r="249" spans="1:20" s="51" customFormat="1" ht="33" hidden="1" customHeight="1">
      <c r="A249" s="41"/>
      <c r="B249" s="41"/>
      <c r="C249" s="1204" t="s">
        <v>52</v>
      </c>
      <c r="D249" s="1204"/>
      <c r="E249" s="1204"/>
      <c r="F249" s="1204"/>
      <c r="G249" s="11"/>
      <c r="H249" s="1246" t="s">
        <v>76</v>
      </c>
      <c r="I249" s="1247"/>
      <c r="J249" s="1247"/>
      <c r="K249" s="1248"/>
      <c r="L249" s="348"/>
      <c r="M249" s="348"/>
      <c r="N249" s="348"/>
      <c r="O249" s="28"/>
      <c r="P249" s="28"/>
      <c r="Q249" s="312"/>
      <c r="R249" s="28"/>
      <c r="S249" s="28"/>
      <c r="T249" s="29"/>
    </row>
    <row r="250" spans="1:20" s="51" customFormat="1" ht="33" hidden="1" customHeight="1">
      <c r="A250" s="41"/>
      <c r="B250" s="41"/>
      <c r="C250" s="1204" t="s">
        <v>50</v>
      </c>
      <c r="D250" s="1204"/>
      <c r="E250" s="1204"/>
      <c r="F250" s="1204"/>
      <c r="G250" s="44"/>
      <c r="H250" s="1249"/>
      <c r="I250" s="1250"/>
      <c r="J250" s="1250"/>
      <c r="K250" s="1251"/>
      <c r="L250" s="348"/>
      <c r="M250" s="348"/>
      <c r="N250" s="348"/>
      <c r="O250" s="28"/>
      <c r="P250" s="28"/>
      <c r="Q250" s="312"/>
      <c r="R250" s="28"/>
      <c r="S250" s="28"/>
      <c r="T250" s="29"/>
    </row>
    <row r="251" spans="1:20" s="51" customFormat="1" ht="21.95" hidden="1" customHeight="1">
      <c r="A251" s="41"/>
      <c r="B251" s="41"/>
      <c r="C251" s="1275"/>
      <c r="D251" s="1275"/>
      <c r="E251" s="1275"/>
      <c r="F251" s="1275"/>
      <c r="G251" s="44"/>
      <c r="H251" s="1249"/>
      <c r="I251" s="1250"/>
      <c r="J251" s="1250"/>
      <c r="K251" s="1251"/>
      <c r="L251" s="349"/>
      <c r="M251" s="349"/>
      <c r="N251" s="349"/>
      <c r="O251" s="28"/>
      <c r="P251" s="28"/>
      <c r="Q251" s="312"/>
      <c r="R251" s="28"/>
      <c r="S251" s="28"/>
      <c r="T251" s="29"/>
    </row>
    <row r="252" spans="1:20" s="51" customFormat="1" ht="36.75" hidden="1" customHeight="1">
      <c r="A252" s="41"/>
      <c r="B252" s="41"/>
      <c r="C252" s="609"/>
      <c r="D252" s="609"/>
      <c r="E252" s="609"/>
      <c r="F252" s="609"/>
      <c r="G252" s="44"/>
      <c r="H252" s="1211" t="s">
        <v>22</v>
      </c>
      <c r="I252" s="1212"/>
      <c r="J252" s="1212"/>
      <c r="K252" s="477">
        <f>K273</f>
        <v>168515382</v>
      </c>
      <c r="L252" s="348"/>
      <c r="M252" s="348"/>
      <c r="N252" s="86"/>
      <c r="O252" s="28"/>
      <c r="P252" s="28"/>
      <c r="Q252" s="312"/>
      <c r="R252" s="28"/>
      <c r="S252" s="28"/>
      <c r="T252" s="29"/>
    </row>
    <row r="253" spans="1:20" s="51" customFormat="1" ht="17.100000000000001" hidden="1" customHeight="1">
      <c r="A253" s="41"/>
      <c r="B253" s="41"/>
      <c r="C253" s="609"/>
      <c r="D253" s="609"/>
      <c r="E253" s="609"/>
      <c r="F253" s="609"/>
      <c r="G253" s="44"/>
      <c r="H253" s="20"/>
      <c r="I253" s="20"/>
      <c r="J253" s="20"/>
      <c r="K253" s="20"/>
      <c r="L253" s="20"/>
      <c r="M253" s="20"/>
      <c r="N253" s="18"/>
      <c r="O253" s="28"/>
      <c r="P253" s="28"/>
      <c r="Q253" s="312"/>
      <c r="R253" s="28"/>
      <c r="S253" s="28"/>
      <c r="T253" s="29"/>
    </row>
    <row r="254" spans="1:20" ht="44.25" hidden="1" customHeight="1">
      <c r="A254" s="346" t="s">
        <v>1057</v>
      </c>
      <c r="B254" s="1226" t="s">
        <v>1037</v>
      </c>
      <c r="C254" s="1226"/>
      <c r="D254" s="1226"/>
      <c r="E254" s="1226"/>
      <c r="F254" s="1226"/>
      <c r="G254" s="1226"/>
      <c r="H254" s="1226"/>
      <c r="I254" s="1226"/>
      <c r="J254" s="1226"/>
      <c r="K254" s="1226"/>
      <c r="L254" s="346"/>
      <c r="M254" s="346"/>
      <c r="N254" s="402"/>
      <c r="O254" s="27"/>
      <c r="P254" s="27"/>
      <c r="Q254" s="620"/>
      <c r="R254" s="27"/>
      <c r="S254" s="27"/>
      <c r="T254" s="27"/>
    </row>
    <row r="255" spans="1:20" ht="20.100000000000001" hidden="1" customHeight="1">
      <c r="A255" s="195"/>
      <c r="B255" s="195"/>
      <c r="C255" s="1226"/>
      <c r="D255" s="1226"/>
      <c r="E255" s="1226"/>
      <c r="F255" s="1226"/>
      <c r="G255" s="1226"/>
      <c r="H255" s="1226"/>
      <c r="I255" s="1226"/>
      <c r="J255" s="1226"/>
      <c r="K255" s="1226"/>
      <c r="L255" s="1226"/>
      <c r="M255" s="369"/>
      <c r="N255" s="195"/>
    </row>
    <row r="256" spans="1:20" ht="33.75" hidden="1" customHeight="1">
      <c r="A256" s="346"/>
      <c r="B256" s="1226" t="s">
        <v>168</v>
      </c>
      <c r="C256" s="1226"/>
      <c r="D256" s="1226"/>
      <c r="E256" s="1226"/>
      <c r="F256" s="1226"/>
      <c r="G256" s="1226"/>
      <c r="H256" s="1226"/>
      <c r="I256" s="1226"/>
      <c r="J256" s="1226"/>
      <c r="K256" s="1226"/>
      <c r="L256" s="346"/>
      <c r="M256" s="346"/>
      <c r="N256" s="347"/>
    </row>
    <row r="257" spans="1:20" ht="33.75" hidden="1" customHeight="1">
      <c r="A257" s="346"/>
      <c r="B257" s="607"/>
      <c r="C257" s="607"/>
      <c r="D257" s="607"/>
      <c r="E257" s="607"/>
      <c r="F257" s="607"/>
      <c r="G257" s="607"/>
      <c r="H257" s="607"/>
      <c r="I257" s="607"/>
      <c r="J257" s="607"/>
      <c r="K257" s="607"/>
      <c r="L257" s="346"/>
      <c r="M257" s="346"/>
      <c r="N257" s="346"/>
    </row>
    <row r="258" spans="1:20" s="555" customFormat="1" ht="66" hidden="1" customHeight="1">
      <c r="A258" s="549" t="s">
        <v>183</v>
      </c>
      <c r="B258" s="558" t="s">
        <v>183</v>
      </c>
      <c r="C258" s="550" t="s">
        <v>209</v>
      </c>
      <c r="D258" s="551"/>
      <c r="E258" s="551"/>
      <c r="F258" s="552"/>
      <c r="G258" s="556" t="s">
        <v>440</v>
      </c>
      <c r="H258" s="557" t="s">
        <v>16</v>
      </c>
      <c r="I258" s="558" t="s">
        <v>180</v>
      </c>
      <c r="J258" s="558" t="s">
        <v>181</v>
      </c>
      <c r="K258" s="558" t="s">
        <v>200</v>
      </c>
      <c r="L258" s="549" t="s">
        <v>180</v>
      </c>
      <c r="M258" s="549" t="s">
        <v>181</v>
      </c>
      <c r="N258" s="549" t="s">
        <v>200</v>
      </c>
      <c r="O258" s="553" t="s">
        <v>180</v>
      </c>
      <c r="P258" s="553" t="s">
        <v>181</v>
      </c>
      <c r="Q258" s="625" t="s">
        <v>200</v>
      </c>
      <c r="R258" s="553"/>
      <c r="S258" s="553"/>
      <c r="T258" s="554"/>
    </row>
    <row r="259" spans="1:20" s="571" customFormat="1" ht="34.5" hidden="1" customHeight="1">
      <c r="A259" s="564"/>
      <c r="B259" s="565"/>
      <c r="C259" s="1259" t="s">
        <v>21</v>
      </c>
      <c r="D259" s="1260"/>
      <c r="E259" s="1260"/>
      <c r="F259" s="1261"/>
      <c r="G259" s="566"/>
      <c r="H259" s="567"/>
      <c r="I259" s="568">
        <f>SUM(I260:I271)</f>
        <v>12814709</v>
      </c>
      <c r="J259" s="568">
        <f>SUM(J260:J271)</f>
        <v>1508311</v>
      </c>
      <c r="K259" s="568">
        <f>I259+J259</f>
        <v>14323020</v>
      </c>
      <c r="L259" s="568">
        <f>SUM(L260:L271)</f>
        <v>12814709</v>
      </c>
      <c r="M259" s="568">
        <f>SUM(M260:M271)</f>
        <v>1508311</v>
      </c>
      <c r="N259" s="568">
        <f>L259+M259</f>
        <v>14323020</v>
      </c>
      <c r="O259" s="569">
        <f>SUM(O260:O270)</f>
        <v>12805229</v>
      </c>
      <c r="P259" s="569">
        <f>SUM(P246:P246)</f>
        <v>0</v>
      </c>
      <c r="Q259" s="626">
        <f>SUM(Q246:Q246)</f>
        <v>0</v>
      </c>
      <c r="R259" s="569"/>
      <c r="S259" s="569"/>
      <c r="T259" s="570"/>
    </row>
    <row r="260" spans="1:20" s="548" customFormat="1" ht="34.5" hidden="1" customHeight="1">
      <c r="A260" s="559" t="s">
        <v>202</v>
      </c>
      <c r="B260" s="560" t="s">
        <v>202</v>
      </c>
      <c r="C260" s="1256" t="s">
        <v>6</v>
      </c>
      <c r="D260" s="1257"/>
      <c r="E260" s="1257"/>
      <c r="F260" s="1258"/>
      <c r="G260" s="561">
        <v>8100</v>
      </c>
      <c r="H260" s="562">
        <v>108288</v>
      </c>
      <c r="I260" s="563">
        <f>L260</f>
        <v>1538681</v>
      </c>
      <c r="J260" s="563">
        <f>M260</f>
        <v>38410</v>
      </c>
      <c r="K260" s="563">
        <f>SUM(I260:J260)</f>
        <v>1577091</v>
      </c>
      <c r="L260" s="563">
        <f>L950+L983+L1065+L1081+L1122+L1151+L1178+L1219+L1433+L1461+L1510+L1572+L1615+L1105+L1328+L1373+L1543+L1661+L1253</f>
        <v>1538681</v>
      </c>
      <c r="M260" s="563">
        <f>M950+M983+M1065+M1081+M1122+M1151+M1178+M1219+M1433+M1461+M1510+M1572+M1615+M1105+M1328+M1373+M1543+M1661+M1253</f>
        <v>38410</v>
      </c>
      <c r="N260" s="563">
        <f>SUM(L260:M260)</f>
        <v>1577091</v>
      </c>
      <c r="O260" s="546">
        <f>L260*$Q$139</f>
        <v>1538681</v>
      </c>
      <c r="P260" s="546">
        <f>M260*$R$139</f>
        <v>38410</v>
      </c>
      <c r="Q260" s="627">
        <f>SUM(O260:P260)</f>
        <v>1577091</v>
      </c>
      <c r="R260" s="546"/>
      <c r="S260" s="546"/>
      <c r="T260" s="547"/>
    </row>
    <row r="261" spans="1:20" s="548" customFormat="1" ht="34.5" hidden="1" customHeight="1">
      <c r="A261" s="559" t="s">
        <v>205</v>
      </c>
      <c r="B261" s="560" t="s">
        <v>205</v>
      </c>
      <c r="C261" s="1256" t="s">
        <v>509</v>
      </c>
      <c r="D261" s="1257"/>
      <c r="E261" s="1257"/>
      <c r="F261" s="1258"/>
      <c r="G261" s="561">
        <v>8100</v>
      </c>
      <c r="H261" s="562">
        <v>108288</v>
      </c>
      <c r="I261" s="563">
        <f t="shared" ref="I261:J270" si="81">L261</f>
        <v>6880423</v>
      </c>
      <c r="J261" s="563">
        <f t="shared" si="81"/>
        <v>0</v>
      </c>
      <c r="K261" s="563">
        <f t="shared" ref="K261:K270" si="82">SUM(I261:J261)</f>
        <v>6880423</v>
      </c>
      <c r="L261" s="563">
        <f>L952+L985+L997+L1023+L1036+L1067+L1083+L1107+L1125+L1153+L1180+L1222+L1255+L1270+L1292+L1306+L1330+L1342+L1352+L1375+L1384+L1407+L1415+L1435+L1468+L1496+L1513+L1545+L1576+L1589+L1618+L1633+L1663+L1678</f>
        <v>6880423</v>
      </c>
      <c r="M261" s="563">
        <f>M952+M985+M997+M1023+M1036+M1067+M1083+M1107+M1125+M1153+M1180+M1222+M1255+M1270+M1306+M1292+M1330+M1342+M1352+M1375+M1384+M1435+M1468+M1496+M1513+M1545+M1576+M1589+M1618+M1633+M1663+M1678</f>
        <v>0</v>
      </c>
      <c r="N261" s="563">
        <f t="shared" ref="N261:N270" si="83">SUM(L261:M261)</f>
        <v>6880423</v>
      </c>
      <c r="O261" s="546">
        <f t="shared" ref="O261:O270" si="84">L261*$Q$139</f>
        <v>6880423</v>
      </c>
      <c r="P261" s="546">
        <f t="shared" ref="P261:P270" si="85">M261*$R$139</f>
        <v>0</v>
      </c>
      <c r="Q261" s="627">
        <f t="shared" ref="Q261:Q270" si="86">SUM(O261:P261)</f>
        <v>6880423</v>
      </c>
      <c r="R261" s="546"/>
      <c r="S261" s="546"/>
      <c r="T261" s="547"/>
    </row>
    <row r="262" spans="1:20" s="548" customFormat="1" ht="34.5" hidden="1" customHeight="1">
      <c r="A262" s="559" t="s">
        <v>206</v>
      </c>
      <c r="B262" s="560" t="s">
        <v>206</v>
      </c>
      <c r="C262" s="1256" t="s">
        <v>510</v>
      </c>
      <c r="D262" s="1257"/>
      <c r="E262" s="1257"/>
      <c r="F262" s="1258"/>
      <c r="G262" s="561">
        <v>8100</v>
      </c>
      <c r="H262" s="562">
        <v>108288</v>
      </c>
      <c r="I262" s="563">
        <f t="shared" si="81"/>
        <v>809756</v>
      </c>
      <c r="J262" s="563">
        <f t="shared" si="81"/>
        <v>1162641</v>
      </c>
      <c r="K262" s="563">
        <f t="shared" si="82"/>
        <v>1972397</v>
      </c>
      <c r="L262" s="563">
        <f>L936+L954+L987+L999+L1025+L1038+L1069+L1085+L1109+L1127+L1155+L1182+L1229+L1257+L1272+L1294+L1308+L1332+L1344+L1354+L1377+L1386+L1409+L1417+L1438+L1470+L1498+L1515+L1547+L1578+L1591+L1621+L1635+L1665+L1680</f>
        <v>809756</v>
      </c>
      <c r="M262" s="563">
        <f>M936+M954+M987+M999+M1025+M1038+M1069+M1085+M1109+M1127+M1155+M1182+M1229+M1257+M1272+M1294+M1308+M1332+M1344+M1354+M1377+M1386+M1409+M1417+M1438+M1470+M1498+M1515+M1547+M1578+M1591+M1621+M1635+M1665+M1680</f>
        <v>1162641</v>
      </c>
      <c r="N262" s="563">
        <f t="shared" si="83"/>
        <v>1972397</v>
      </c>
      <c r="O262" s="546">
        <f t="shared" si="84"/>
        <v>809756</v>
      </c>
      <c r="P262" s="546">
        <f t="shared" si="85"/>
        <v>1162641</v>
      </c>
      <c r="Q262" s="627">
        <f t="shared" si="86"/>
        <v>1972397</v>
      </c>
      <c r="R262" s="546"/>
      <c r="S262" s="546"/>
      <c r="T262" s="547"/>
    </row>
    <row r="263" spans="1:20" s="548" customFormat="1" ht="34.5" hidden="1" customHeight="1">
      <c r="A263" s="559" t="s">
        <v>193</v>
      </c>
      <c r="B263" s="560" t="s">
        <v>193</v>
      </c>
      <c r="C263" s="1256" t="s">
        <v>197</v>
      </c>
      <c r="D263" s="1257"/>
      <c r="E263" s="1257"/>
      <c r="F263" s="1258"/>
      <c r="G263" s="561">
        <v>8100</v>
      </c>
      <c r="H263" s="562" t="s">
        <v>686</v>
      </c>
      <c r="I263" s="563">
        <f t="shared" si="81"/>
        <v>255991</v>
      </c>
      <c r="J263" s="563">
        <f t="shared" si="81"/>
        <v>0</v>
      </c>
      <c r="K263" s="563">
        <f t="shared" si="82"/>
        <v>255991</v>
      </c>
      <c r="L263" s="563">
        <f>L957+L1027+L1072+L1112+L1130+L1158+L1231+L1260+L1297+L1334+L1388+L1441+L1473+L1501+L1518+L1550+L1581+L1623+L1668+L1682</f>
        <v>255991</v>
      </c>
      <c r="M263" s="563">
        <f>M957+M1072+M1130+M1158+M1231+M1260+M1297+M1334+M1388+M1441+M1550+M1623+M1668+M1682</f>
        <v>0</v>
      </c>
      <c r="N263" s="563">
        <f t="shared" si="83"/>
        <v>255991</v>
      </c>
      <c r="O263" s="546">
        <f t="shared" si="84"/>
        <v>255991</v>
      </c>
      <c r="P263" s="546">
        <f t="shared" si="85"/>
        <v>0</v>
      </c>
      <c r="Q263" s="627">
        <f t="shared" si="86"/>
        <v>255991</v>
      </c>
      <c r="R263" s="546"/>
      <c r="S263" s="546"/>
      <c r="T263" s="547"/>
    </row>
    <row r="264" spans="1:20" s="548" customFormat="1" ht="34.5" hidden="1" customHeight="1">
      <c r="A264" s="559" t="s">
        <v>193</v>
      </c>
      <c r="B264" s="560" t="s">
        <v>194</v>
      </c>
      <c r="C264" s="1256" t="s">
        <v>3</v>
      </c>
      <c r="D264" s="1257"/>
      <c r="E264" s="1257"/>
      <c r="F264" s="1258"/>
      <c r="G264" s="561">
        <v>8100</v>
      </c>
      <c r="H264" s="562">
        <v>108288</v>
      </c>
      <c r="I264" s="563">
        <f>L264</f>
        <v>119223</v>
      </c>
      <c r="J264" s="563">
        <f>M264</f>
        <v>0</v>
      </c>
      <c r="K264" s="563">
        <f>SUM(I264:J264)</f>
        <v>119223</v>
      </c>
      <c r="L264" s="563">
        <f>L1412</f>
        <v>119223</v>
      </c>
      <c r="M264" s="563">
        <f>M298</f>
        <v>0</v>
      </c>
      <c r="N264" s="563">
        <f t="shared" si="83"/>
        <v>119223</v>
      </c>
      <c r="O264" s="546">
        <f>L264*$Q$139</f>
        <v>119223</v>
      </c>
      <c r="P264" s="546">
        <f>M264*$R$139</f>
        <v>0</v>
      </c>
      <c r="Q264" s="627">
        <f>SUM(O264:P264)</f>
        <v>119223</v>
      </c>
      <c r="R264" s="546"/>
      <c r="S264" s="546"/>
      <c r="T264" s="547"/>
    </row>
    <row r="265" spans="1:20" s="548" customFormat="1" ht="34.5" hidden="1" customHeight="1">
      <c r="A265" s="559" t="s">
        <v>2</v>
      </c>
      <c r="B265" s="560" t="s">
        <v>2</v>
      </c>
      <c r="C265" s="1256" t="s">
        <v>344</v>
      </c>
      <c r="D265" s="1257"/>
      <c r="E265" s="1257"/>
      <c r="F265" s="1258"/>
      <c r="G265" s="561">
        <v>8100</v>
      </c>
      <c r="H265" s="562" t="s">
        <v>781</v>
      </c>
      <c r="I265" s="563">
        <f t="shared" si="81"/>
        <v>1150005</v>
      </c>
      <c r="J265" s="563">
        <f t="shared" si="81"/>
        <v>0</v>
      </c>
      <c r="K265" s="563">
        <f t="shared" si="82"/>
        <v>1150005</v>
      </c>
      <c r="L265" s="563">
        <f>SUM(L1187)</f>
        <v>1150005</v>
      </c>
      <c r="M265" s="563">
        <f>SUM(M1187)</f>
        <v>0</v>
      </c>
      <c r="N265" s="563">
        <f t="shared" si="83"/>
        <v>1150005</v>
      </c>
      <c r="O265" s="546">
        <f t="shared" si="84"/>
        <v>1150005</v>
      </c>
      <c r="P265" s="546">
        <f t="shared" si="85"/>
        <v>0</v>
      </c>
      <c r="Q265" s="627">
        <f t="shared" si="86"/>
        <v>1150005</v>
      </c>
      <c r="R265" s="546"/>
      <c r="S265" s="546"/>
      <c r="T265" s="547"/>
    </row>
    <row r="266" spans="1:20" s="548" customFormat="1" ht="34.5" hidden="1" customHeight="1">
      <c r="A266" s="559" t="s">
        <v>196</v>
      </c>
      <c r="B266" s="560" t="s">
        <v>196</v>
      </c>
      <c r="C266" s="1256" t="s">
        <v>343</v>
      </c>
      <c r="D266" s="1257"/>
      <c r="E266" s="1257"/>
      <c r="F266" s="1258"/>
      <c r="G266" s="561">
        <v>8100</v>
      </c>
      <c r="H266" s="562" t="s">
        <v>778</v>
      </c>
      <c r="I266" s="563">
        <f t="shared" si="81"/>
        <v>829651</v>
      </c>
      <c r="J266" s="563">
        <f t="shared" si="81"/>
        <v>0</v>
      </c>
      <c r="K266" s="563">
        <f t="shared" si="82"/>
        <v>829651</v>
      </c>
      <c r="L266" s="563">
        <f>SUM(L939)</f>
        <v>829651</v>
      </c>
      <c r="M266" s="563">
        <f>SUM(M939)</f>
        <v>0</v>
      </c>
      <c r="N266" s="563">
        <f t="shared" si="83"/>
        <v>829651</v>
      </c>
      <c r="O266" s="546">
        <f t="shared" si="84"/>
        <v>829651</v>
      </c>
      <c r="P266" s="546">
        <f t="shared" si="85"/>
        <v>0</v>
      </c>
      <c r="Q266" s="627">
        <f t="shared" si="86"/>
        <v>829651</v>
      </c>
      <c r="R266" s="546"/>
      <c r="S266" s="546"/>
      <c r="T266" s="547"/>
    </row>
    <row r="267" spans="1:20" s="51" customFormat="1" ht="65.25" hidden="1" customHeight="1">
      <c r="A267" s="162" t="s">
        <v>339</v>
      </c>
      <c r="B267" s="278" t="s">
        <v>339</v>
      </c>
      <c r="C267" s="1276" t="s">
        <v>457</v>
      </c>
      <c r="D267" s="1277"/>
      <c r="E267" s="1277"/>
      <c r="F267" s="1278"/>
      <c r="G267" s="561">
        <v>8100</v>
      </c>
      <c r="H267" s="462" t="s">
        <v>919</v>
      </c>
      <c r="I267" s="382">
        <f t="shared" si="81"/>
        <v>0</v>
      </c>
      <c r="J267" s="383">
        <f>J943+J959+J989+J1001+J1029+J1041+J1074+J1088+J1114+J1132+J1160+J1192+J1233+J1262+J1274+J1311+J1299+J1336+J1346+J1357+J1379+J1390+J1443+J1475+J1503+J1520+J1552+J1583+J1594+J1625+J1638+J1670+J1684</f>
        <v>0</v>
      </c>
      <c r="K267" s="382">
        <f t="shared" si="82"/>
        <v>0</v>
      </c>
      <c r="L267" s="383">
        <f>L943+L959+L989+L1001+L1029+L1041+L1074+L1088+L1114+L1132+L1160+L1192+L1233+L1262+L1274+L1311+L1299+L1336+L1346+L1357+L1379+L1390+L1443+L1475+L1503+L1520+L1552+L1583+L1594+L1625+L1638+L1670+L1684</f>
        <v>0</v>
      </c>
      <c r="M267" s="383">
        <f>M943+M959+M989+M1001+M1029+M1041+M1074+M1088+M1114+M1132+M1160+M1192+M1233+M1262+M1274+M1311+M1299+M1336+M1346+M1357+M1379+M1390+M1443+M1475+M1503+M1520+M1552+M1583+M1594+M1625+M1638+M1670+M1684</f>
        <v>0</v>
      </c>
      <c r="N267" s="382">
        <f t="shared" si="83"/>
        <v>0</v>
      </c>
      <c r="O267" s="408">
        <f t="shared" si="84"/>
        <v>0</v>
      </c>
      <c r="P267" s="406">
        <f t="shared" si="85"/>
        <v>0</v>
      </c>
      <c r="Q267" s="633">
        <f t="shared" si="86"/>
        <v>0</v>
      </c>
      <c r="R267" s="28"/>
      <c r="S267" s="28"/>
      <c r="T267" s="29"/>
    </row>
    <row r="268" spans="1:20" s="548" customFormat="1" ht="34.5" hidden="1" customHeight="1">
      <c r="A268" s="559" t="s">
        <v>244</v>
      </c>
      <c r="B268" s="560" t="s">
        <v>244</v>
      </c>
      <c r="C268" s="1256" t="s">
        <v>33</v>
      </c>
      <c r="D268" s="1257"/>
      <c r="E268" s="1257"/>
      <c r="F268" s="1258"/>
      <c r="G268" s="561">
        <v>8100</v>
      </c>
      <c r="H268" s="562">
        <v>108288</v>
      </c>
      <c r="I268" s="563">
        <f t="shared" si="81"/>
        <v>496077</v>
      </c>
      <c r="J268" s="563">
        <f t="shared" si="81"/>
        <v>307260</v>
      </c>
      <c r="K268" s="563">
        <f t="shared" si="82"/>
        <v>803337</v>
      </c>
      <c r="L268" s="563">
        <f>L1674+L1641+L1629+L1597+L1586+L1556+L1524+L1506+L1479+L1446+L1381+L1359+L1339+L1302+L1314+L1266+L1237+L1195+L1163+L1136+L1118+L1091+L1077+L1044+L1032+L1004+L993+L962+L946+L1349+L1687+L1393</f>
        <v>496077</v>
      </c>
      <c r="M268" s="563">
        <f>M1674+M1641+M1629+M1597+M1586+M1556+M1524+M1506+M1479+M1446+M1381+M1359+M1339+M1302+M1314+M1266+M1237+M1195+M1163+M1136+M1118+M1091+M1077+M1044+M1032+M1004+M993+M962+M946+M1349+M1687+M1393</f>
        <v>307260</v>
      </c>
      <c r="N268" s="563">
        <f t="shared" si="83"/>
        <v>803337</v>
      </c>
      <c r="O268" s="546">
        <f t="shared" si="84"/>
        <v>496077</v>
      </c>
      <c r="P268" s="546">
        <f t="shared" si="85"/>
        <v>307260</v>
      </c>
      <c r="Q268" s="627">
        <f t="shared" si="86"/>
        <v>803337</v>
      </c>
      <c r="R268" s="546"/>
      <c r="S268" s="546"/>
      <c r="T268" s="547"/>
    </row>
    <row r="269" spans="1:20" s="548" customFormat="1" ht="34.5" hidden="1" customHeight="1">
      <c r="A269" s="559" t="s">
        <v>417</v>
      </c>
      <c r="B269" s="560" t="s">
        <v>417</v>
      </c>
      <c r="C269" s="1256" t="s">
        <v>527</v>
      </c>
      <c r="D269" s="1257"/>
      <c r="E269" s="1257"/>
      <c r="F269" s="1258"/>
      <c r="G269" s="561">
        <v>8100</v>
      </c>
      <c r="H269" s="562">
        <v>138154</v>
      </c>
      <c r="I269" s="563">
        <f t="shared" si="81"/>
        <v>236902</v>
      </c>
      <c r="J269" s="563">
        <f t="shared" si="81"/>
        <v>0</v>
      </c>
      <c r="K269" s="563">
        <f t="shared" si="82"/>
        <v>236902</v>
      </c>
      <c r="L269" s="563">
        <f>L1277</f>
        <v>236902</v>
      </c>
      <c r="M269" s="563">
        <f>M1277</f>
        <v>0</v>
      </c>
      <c r="N269" s="563">
        <f t="shared" si="83"/>
        <v>236902</v>
      </c>
      <c r="O269" s="546">
        <f t="shared" si="84"/>
        <v>236902</v>
      </c>
      <c r="P269" s="546">
        <f t="shared" si="85"/>
        <v>0</v>
      </c>
      <c r="Q269" s="627">
        <f t="shared" si="86"/>
        <v>236902</v>
      </c>
      <c r="R269" s="546"/>
      <c r="S269" s="546"/>
      <c r="T269" s="547"/>
    </row>
    <row r="270" spans="1:20" s="548" customFormat="1" ht="34.5" hidden="1" customHeight="1">
      <c r="A270" s="559" t="s">
        <v>480</v>
      </c>
      <c r="B270" s="560" t="s">
        <v>480</v>
      </c>
      <c r="C270" s="1256" t="s">
        <v>528</v>
      </c>
      <c r="D270" s="1257"/>
      <c r="E270" s="1257"/>
      <c r="F270" s="1258"/>
      <c r="G270" s="604" t="s">
        <v>1321</v>
      </c>
      <c r="H270" s="562" t="s">
        <v>779</v>
      </c>
      <c r="I270" s="563">
        <f t="shared" si="81"/>
        <v>488520</v>
      </c>
      <c r="J270" s="563">
        <f t="shared" si="81"/>
        <v>0</v>
      </c>
      <c r="K270" s="563">
        <f t="shared" si="82"/>
        <v>488520</v>
      </c>
      <c r="L270" s="563">
        <f>L1198</f>
        <v>488520</v>
      </c>
      <c r="M270" s="563">
        <f>M1198</f>
        <v>0</v>
      </c>
      <c r="N270" s="563">
        <f t="shared" si="83"/>
        <v>488520</v>
      </c>
      <c r="O270" s="546">
        <f t="shared" si="84"/>
        <v>488520</v>
      </c>
      <c r="P270" s="546">
        <f t="shared" si="85"/>
        <v>0</v>
      </c>
      <c r="Q270" s="627">
        <f t="shared" si="86"/>
        <v>488520</v>
      </c>
      <c r="R270" s="546"/>
      <c r="S270" s="546"/>
      <c r="T270" s="547"/>
    </row>
    <row r="271" spans="1:20" s="548" customFormat="1" ht="34.5" hidden="1" customHeight="1">
      <c r="A271" s="559" t="s">
        <v>480</v>
      </c>
      <c r="B271" s="560" t="s">
        <v>533</v>
      </c>
      <c r="C271" s="1256" t="s">
        <v>1256</v>
      </c>
      <c r="D271" s="1257"/>
      <c r="E271" s="1257"/>
      <c r="F271" s="1258"/>
      <c r="G271" s="604" t="s">
        <v>1321</v>
      </c>
      <c r="H271" s="562">
        <v>138150</v>
      </c>
      <c r="I271" s="563">
        <f>L271</f>
        <v>9480</v>
      </c>
      <c r="J271" s="563">
        <f>M271</f>
        <v>0</v>
      </c>
      <c r="K271" s="563">
        <f>SUM(I271:J271)</f>
        <v>9480</v>
      </c>
      <c r="L271" s="563">
        <f>L1201</f>
        <v>9480</v>
      </c>
      <c r="M271" s="563">
        <f>M1199</f>
        <v>0</v>
      </c>
      <c r="N271" s="563">
        <f>SUM(L271:M271)</f>
        <v>9480</v>
      </c>
      <c r="O271" s="546">
        <f>L271*$Q$139</f>
        <v>9480</v>
      </c>
      <c r="P271" s="546">
        <f>M271*$R$139</f>
        <v>0</v>
      </c>
      <c r="Q271" s="627">
        <f>SUM(O271:P271)</f>
        <v>9480</v>
      </c>
      <c r="R271" s="546"/>
      <c r="S271" s="546"/>
      <c r="T271" s="547"/>
    </row>
    <row r="272" spans="1:20" s="51" customFormat="1" ht="35.25" hidden="1" customHeight="1">
      <c r="A272" s="52"/>
      <c r="B272" s="358"/>
      <c r="C272" s="357"/>
      <c r="D272" s="357"/>
      <c r="E272" s="357"/>
      <c r="F272" s="357"/>
      <c r="G272" s="359"/>
      <c r="H272" s="360"/>
      <c r="I272" s="366"/>
      <c r="J272" s="384"/>
      <c r="K272" s="384"/>
      <c r="L272" s="361"/>
      <c r="M272" s="362"/>
      <c r="N272" s="362"/>
      <c r="O272" s="407"/>
      <c r="P272" s="36"/>
      <c r="Q272" s="631"/>
      <c r="R272" s="28"/>
      <c r="S272" s="28"/>
      <c r="T272" s="29"/>
    </row>
    <row r="273" spans="1:20" s="472" customFormat="1" ht="45" hidden="1" customHeight="1">
      <c r="A273" s="478" t="s">
        <v>200</v>
      </c>
      <c r="B273" s="1263" t="s">
        <v>200</v>
      </c>
      <c r="C273" s="1264"/>
      <c r="D273" s="1264"/>
      <c r="E273" s="1264"/>
      <c r="F273" s="1264"/>
      <c r="G273" s="1264"/>
      <c r="H273" s="1279"/>
      <c r="I273" s="479">
        <f>SUM(I150,I157,I159,I166,I174,I179,I184,I188,I206,I213,I219,I222,I226,I229,I235,I241,I243,I259)</f>
        <v>159181342</v>
      </c>
      <c r="J273" s="479">
        <f>SUM(J150,J157,J159,J166,J174,J179,J184,J188,J206,J213,J219,J222,J226,J229,J235,J241,J243,J259)</f>
        <v>9334040</v>
      </c>
      <c r="K273" s="479">
        <f>I273+J273</f>
        <v>168515382</v>
      </c>
      <c r="L273" s="480">
        <f>SUM(L150,L157,L159,L166,L174,L179,L184,L188,L206,L213,L219,L222,L226,L229,L235,L241,L243,L259)</f>
        <v>149961379</v>
      </c>
      <c r="M273" s="480">
        <f>SUM(M150,M157,M159,M166,M174,M179,M184,M188,M206,M213,M219,M222,M226,M229,M235,M241,M243,M259)</f>
        <v>9334040</v>
      </c>
      <c r="N273" s="480">
        <f>L273+M273</f>
        <v>159295419</v>
      </c>
      <c r="O273" s="470" t="e">
        <f>SUM(O150,O157,O159,O166,O174,O179,O184,O188,O206,O213,O222,O226,#REF!,O229,O235,O241,O243,O259)</f>
        <v>#REF!</v>
      </c>
      <c r="P273" s="470" t="e">
        <f>SUM(P150,P157,P159,P166,P174,P179,P184,P188,P206,P213,P222,P226,#REF!,P229,P235,P241,P243,P259)</f>
        <v>#REF!</v>
      </c>
      <c r="Q273" s="622" t="e">
        <f>SUM(Q150,Q157,Q159,Q166,Q174,Q179,Q184,Q188,Q206,Q213,Q222,Q226,#REF!,Q229,Q235,Q241,Q243,Q259)</f>
        <v>#REF!</v>
      </c>
      <c r="R273" s="470"/>
      <c r="S273" s="470"/>
      <c r="T273" s="471"/>
    </row>
    <row r="274" spans="1:20" s="17" customFormat="1" ht="36.75" hidden="1" customHeight="1">
      <c r="A274" s="613"/>
      <c r="B274" s="613"/>
      <c r="C274" s="613"/>
      <c r="D274" s="613"/>
      <c r="E274" s="613"/>
      <c r="F274" s="613"/>
      <c r="G274" s="66"/>
      <c r="H274" s="66"/>
      <c r="I274" s="66"/>
      <c r="J274" s="66"/>
      <c r="K274" s="66"/>
      <c r="L274" s="368">
        <f>L273-I273</f>
        <v>-9219963</v>
      </c>
      <c r="M274" s="613"/>
      <c r="N274" s="368">
        <f>K273-N273</f>
        <v>9219963</v>
      </c>
      <c r="O274" s="28"/>
      <c r="P274" s="28"/>
      <c r="Q274" s="312"/>
      <c r="R274" s="28"/>
      <c r="S274" s="28"/>
      <c r="T274" s="29"/>
    </row>
    <row r="275" spans="1:20" s="17" customFormat="1" ht="20.100000000000001" hidden="1" customHeight="1">
      <c r="A275" s="613"/>
      <c r="B275" s="613"/>
      <c r="C275" s="613"/>
      <c r="D275" s="613"/>
      <c r="E275" s="613"/>
      <c r="F275" s="613"/>
      <c r="G275" s="66"/>
      <c r="H275" s="66"/>
      <c r="I275" s="66"/>
      <c r="J275" s="66"/>
      <c r="K275" s="66"/>
      <c r="L275" s="613"/>
      <c r="M275" s="613"/>
      <c r="N275" s="613"/>
      <c r="O275" s="28"/>
      <c r="P275" s="28"/>
      <c r="Q275" s="312"/>
      <c r="R275" s="28"/>
      <c r="S275" s="28"/>
      <c r="T275" s="29"/>
    </row>
    <row r="276" spans="1:20" s="17" customFormat="1" ht="20.100000000000001" hidden="1" customHeight="1">
      <c r="A276" s="613"/>
      <c r="B276" s="613"/>
      <c r="C276" s="613"/>
      <c r="D276" s="613"/>
      <c r="E276" s="613"/>
      <c r="F276" s="613"/>
      <c r="G276" s="66"/>
      <c r="H276" s="66"/>
      <c r="I276" s="66"/>
      <c r="J276" s="66"/>
      <c r="K276" s="66"/>
      <c r="L276" s="613"/>
      <c r="M276" s="613"/>
      <c r="N276" s="613"/>
      <c r="O276" s="28"/>
      <c r="P276" s="28"/>
      <c r="Q276" s="312"/>
      <c r="R276" s="28"/>
      <c r="S276" s="28"/>
      <c r="T276" s="29"/>
    </row>
    <row r="277" spans="1:20" s="17" customFormat="1" ht="20.100000000000001" hidden="1" customHeight="1">
      <c r="A277" s="613"/>
      <c r="B277" s="613"/>
      <c r="C277" s="613"/>
      <c r="D277" s="613"/>
      <c r="E277" s="613"/>
      <c r="F277" s="613"/>
      <c r="G277" s="67"/>
      <c r="H277" s="66"/>
      <c r="I277" s="66"/>
      <c r="J277" s="66"/>
      <c r="K277" s="66"/>
      <c r="L277" s="613"/>
      <c r="M277" s="613"/>
      <c r="N277" s="613"/>
      <c r="O277" s="28"/>
      <c r="P277" s="28"/>
      <c r="Q277" s="312"/>
      <c r="R277" s="28"/>
      <c r="S277" s="28"/>
      <c r="T277" s="29"/>
    </row>
    <row r="278" spans="1:20" ht="15.75" hidden="1" customHeight="1">
      <c r="A278" s="65"/>
      <c r="B278" s="65"/>
      <c r="C278" s="65"/>
      <c r="D278" s="65"/>
      <c r="E278" s="65"/>
      <c r="F278" s="65"/>
      <c r="G278" s="68"/>
      <c r="H278" s="68"/>
      <c r="I278" s="68"/>
      <c r="J278" s="68"/>
      <c r="K278" s="68"/>
      <c r="L278" s="65"/>
      <c r="M278" s="65"/>
      <c r="N278" s="65"/>
    </row>
    <row r="279" spans="1:20" ht="13.5" hidden="1" customHeight="1" thickBot="1">
      <c r="A279" s="59"/>
      <c r="B279" s="59"/>
      <c r="C279" s="69"/>
      <c r="D279" s="69"/>
      <c r="E279" s="69"/>
      <c r="F279" s="70"/>
      <c r="G279" s="70"/>
      <c r="H279" s="71"/>
      <c r="I279" s="71"/>
      <c r="J279" s="71"/>
      <c r="K279" s="71"/>
      <c r="L279" s="72"/>
      <c r="M279" s="73"/>
      <c r="N279" s="74"/>
    </row>
    <row r="280" spans="1:20" ht="34.5" hidden="1" customHeight="1">
      <c r="A280" s="59"/>
      <c r="B280" s="59"/>
      <c r="C280" s="1204" t="s">
        <v>51</v>
      </c>
      <c r="D280" s="1204"/>
      <c r="E280" s="1204"/>
      <c r="F280" s="1204"/>
      <c r="G280" s="68"/>
      <c r="H280" s="1243" t="s">
        <v>11</v>
      </c>
      <c r="I280" s="1244"/>
      <c r="J280" s="1244"/>
      <c r="K280" s="1245"/>
      <c r="L280" s="337"/>
      <c r="M280" s="337"/>
      <c r="N280" s="337"/>
    </row>
    <row r="281" spans="1:20" ht="30.75" hidden="1" customHeight="1">
      <c r="A281" s="59"/>
      <c r="B281" s="59"/>
      <c r="C281" s="1204" t="s">
        <v>52</v>
      </c>
      <c r="D281" s="1204"/>
      <c r="E281" s="1204"/>
      <c r="F281" s="1204"/>
      <c r="G281" s="68"/>
      <c r="H281" s="1208" t="s">
        <v>54</v>
      </c>
      <c r="I281" s="1209"/>
      <c r="J281" s="1209"/>
      <c r="K281" s="1210"/>
      <c r="L281" s="336"/>
      <c r="M281" s="336"/>
      <c r="N281" s="336"/>
    </row>
    <row r="282" spans="1:20" ht="33" hidden="1" customHeight="1">
      <c r="A282" s="59"/>
      <c r="B282" s="59"/>
      <c r="C282" s="1282" t="s">
        <v>50</v>
      </c>
      <c r="D282" s="1282"/>
      <c r="E282" s="1282"/>
      <c r="F282" s="1282"/>
      <c r="G282" s="68"/>
      <c r="H282" s="1211"/>
      <c r="I282" s="1212"/>
      <c r="J282" s="1212"/>
      <c r="K282" s="1213"/>
      <c r="L282" s="336"/>
      <c r="M282" s="336"/>
      <c r="N282" s="336"/>
    </row>
    <row r="283" spans="1:20" ht="33" hidden="1" customHeight="1">
      <c r="A283" s="65"/>
      <c r="B283" s="65"/>
      <c r="C283" s="65"/>
      <c r="D283" s="65"/>
      <c r="E283" s="65"/>
      <c r="F283" s="65"/>
      <c r="G283" s="68"/>
      <c r="H283" s="1211" t="s">
        <v>22</v>
      </c>
      <c r="I283" s="1212"/>
      <c r="J283" s="1212"/>
      <c r="K283" s="477">
        <f>K305</f>
        <v>26830274</v>
      </c>
      <c r="L283" s="336"/>
      <c r="M283" s="336"/>
      <c r="N283" s="86"/>
    </row>
    <row r="284" spans="1:20" ht="72.75" hidden="1" customHeight="1" thickBot="1">
      <c r="A284" s="65"/>
      <c r="B284" s="65"/>
      <c r="C284" s="65"/>
      <c r="D284" s="65"/>
      <c r="E284" s="65"/>
      <c r="F284" s="65"/>
      <c r="G284" s="68"/>
      <c r="H284" s="1283" t="s">
        <v>13</v>
      </c>
      <c r="I284" s="1284"/>
      <c r="J284" s="1284"/>
      <c r="K284" s="1285"/>
      <c r="L284" s="336"/>
      <c r="M284" s="336"/>
      <c r="N284" s="336"/>
    </row>
    <row r="285" spans="1:20" ht="20.100000000000001" hidden="1" customHeight="1">
      <c r="A285" s="65"/>
      <c r="B285" s="65"/>
      <c r="C285" s="65"/>
      <c r="D285" s="65"/>
      <c r="E285" s="65"/>
      <c r="F285" s="65"/>
      <c r="G285" s="68"/>
      <c r="H285" s="68"/>
      <c r="I285" s="68"/>
      <c r="J285" s="68"/>
      <c r="K285" s="68"/>
      <c r="L285" s="65"/>
      <c r="M285" s="65"/>
      <c r="N285" s="65"/>
    </row>
    <row r="286" spans="1:20" ht="20.100000000000001" hidden="1" customHeight="1">
      <c r="A286" s="65"/>
      <c r="B286" s="65"/>
      <c r="C286" s="65"/>
      <c r="D286" s="65"/>
      <c r="E286" s="65"/>
      <c r="F286" s="65"/>
      <c r="G286" s="68"/>
      <c r="H286" s="68"/>
      <c r="I286" s="68"/>
      <c r="J286" s="68"/>
      <c r="K286" s="68"/>
      <c r="L286" s="65"/>
      <c r="M286" s="65"/>
      <c r="N286" s="65"/>
    </row>
    <row r="287" spans="1:20" ht="20.100000000000001" hidden="1" customHeight="1">
      <c r="A287" s="65"/>
      <c r="B287" s="65"/>
      <c r="C287" s="65"/>
      <c r="D287" s="65"/>
      <c r="E287" s="65"/>
      <c r="F287" s="65"/>
      <c r="G287" s="68"/>
      <c r="H287" s="68"/>
      <c r="I287" s="68"/>
      <c r="J287" s="68"/>
      <c r="K287" s="68"/>
      <c r="L287" s="65"/>
      <c r="M287" s="65"/>
      <c r="N287" s="65"/>
    </row>
    <row r="288" spans="1:20" ht="20.100000000000001" hidden="1" customHeight="1">
      <c r="A288" s="65"/>
      <c r="B288" s="65"/>
      <c r="C288" s="65"/>
      <c r="D288" s="65"/>
      <c r="E288" s="65"/>
      <c r="F288" s="65"/>
      <c r="G288" s="68"/>
      <c r="H288" s="68"/>
      <c r="I288" s="68"/>
      <c r="J288" s="68"/>
      <c r="K288" s="68"/>
      <c r="L288" s="65"/>
      <c r="M288" s="65"/>
      <c r="N288" s="65"/>
    </row>
    <row r="289" spans="1:20" ht="44.25" hidden="1" customHeight="1">
      <c r="A289" s="346" t="s">
        <v>814</v>
      </c>
      <c r="B289" s="1226" t="s">
        <v>1037</v>
      </c>
      <c r="C289" s="1226"/>
      <c r="D289" s="1226"/>
      <c r="E289" s="1226"/>
      <c r="F289" s="1226"/>
      <c r="G289" s="1226"/>
      <c r="H289" s="1226"/>
      <c r="I289" s="1226"/>
      <c r="J289" s="1226"/>
      <c r="K289" s="1226"/>
      <c r="L289" s="402">
        <f>L297-K297</f>
        <v>0</v>
      </c>
      <c r="M289" s="346"/>
      <c r="N289" s="346"/>
      <c r="O289" s="27"/>
      <c r="P289" s="27"/>
      <c r="Q289" s="620"/>
      <c r="R289" s="27"/>
      <c r="S289" s="27"/>
      <c r="T289" s="27"/>
    </row>
    <row r="290" spans="1:20" ht="24.95" hidden="1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</row>
    <row r="291" spans="1:20" s="500" customFormat="1" ht="90" hidden="1">
      <c r="A291" s="496" t="s">
        <v>14</v>
      </c>
      <c r="B291" s="497" t="s">
        <v>14</v>
      </c>
      <c r="C291" s="497" t="s">
        <v>37</v>
      </c>
      <c r="D291" s="497" t="s">
        <v>440</v>
      </c>
      <c r="E291" s="497" t="s">
        <v>16</v>
      </c>
      <c r="F291" s="497" t="s">
        <v>185</v>
      </c>
      <c r="G291" s="497" t="s">
        <v>178</v>
      </c>
      <c r="H291" s="497" t="s">
        <v>179</v>
      </c>
      <c r="I291" s="497" t="s">
        <v>180</v>
      </c>
      <c r="J291" s="497" t="s">
        <v>181</v>
      </c>
      <c r="K291" s="497" t="s">
        <v>200</v>
      </c>
      <c r="L291" s="496" t="s">
        <v>180</v>
      </c>
      <c r="M291" s="496" t="s">
        <v>181</v>
      </c>
      <c r="N291" s="496" t="s">
        <v>200</v>
      </c>
      <c r="O291" s="498"/>
      <c r="P291" s="498"/>
      <c r="Q291" s="622"/>
      <c r="R291" s="498"/>
      <c r="S291" s="498"/>
      <c r="T291" s="499"/>
    </row>
    <row r="292" spans="1:20" s="510" customFormat="1" ht="50.1" hidden="1" customHeight="1">
      <c r="A292" s="501"/>
      <c r="B292" s="502"/>
      <c r="C292" s="503" t="s">
        <v>273</v>
      </c>
      <c r="D292" s="504"/>
      <c r="E292" s="505"/>
      <c r="F292" s="504"/>
      <c r="G292" s="504"/>
      <c r="H292" s="504"/>
      <c r="I292" s="506">
        <f t="shared" ref="I292:N292" si="87">SUM(I293:I299)</f>
        <v>11784582</v>
      </c>
      <c r="J292" s="506">
        <f t="shared" si="87"/>
        <v>1379439</v>
      </c>
      <c r="K292" s="506">
        <f t="shared" si="87"/>
        <v>13164021</v>
      </c>
      <c r="L292" s="507">
        <f t="shared" si="87"/>
        <v>11784582</v>
      </c>
      <c r="M292" s="507">
        <f t="shared" si="87"/>
        <v>1379439</v>
      </c>
      <c r="N292" s="507">
        <f t="shared" si="87"/>
        <v>13164021</v>
      </c>
      <c r="O292" s="508"/>
      <c r="P292" s="508"/>
      <c r="Q292" s="623"/>
      <c r="R292" s="508"/>
      <c r="S292" s="508"/>
      <c r="T292" s="509"/>
    </row>
    <row r="293" spans="1:20" ht="37.5" hidden="1" customHeight="1">
      <c r="A293" s="273" t="s">
        <v>547</v>
      </c>
      <c r="B293" s="481" t="s">
        <v>971</v>
      </c>
      <c r="C293" s="482" t="s">
        <v>140</v>
      </c>
      <c r="D293" s="483">
        <v>8100</v>
      </c>
      <c r="E293" s="492">
        <v>108288</v>
      </c>
      <c r="F293" s="485" t="s">
        <v>516</v>
      </c>
      <c r="G293" s="486" t="s">
        <v>204</v>
      </c>
      <c r="H293" s="487">
        <v>1</v>
      </c>
      <c r="I293" s="473">
        <f t="shared" ref="I293:I299" si="88">INT(L293*$Q$139)</f>
        <v>53135</v>
      </c>
      <c r="J293" s="473">
        <f t="shared" ref="J293:J299" si="89">INT(M293*$R$139)</f>
        <v>0</v>
      </c>
      <c r="K293" s="473">
        <f t="shared" ref="K293:K299" si="90">SUM(I293:J293)</f>
        <v>53135</v>
      </c>
      <c r="L293" s="167">
        <v>53135</v>
      </c>
      <c r="M293" s="167"/>
      <c r="N293" s="167">
        <f>SUM(L293,M293)</f>
        <v>53135</v>
      </c>
      <c r="O293" s="405"/>
      <c r="P293" s="405"/>
    </row>
    <row r="294" spans="1:20" ht="38.25" hidden="1" customHeight="1">
      <c r="A294" s="273" t="s">
        <v>548</v>
      </c>
      <c r="B294" s="481" t="s">
        <v>1126</v>
      </c>
      <c r="C294" s="482" t="s">
        <v>213</v>
      </c>
      <c r="D294" s="483">
        <v>8100</v>
      </c>
      <c r="E294" s="492">
        <v>108288</v>
      </c>
      <c r="F294" s="485" t="s">
        <v>100</v>
      </c>
      <c r="G294" s="488" t="s">
        <v>214</v>
      </c>
      <c r="H294" s="489">
        <v>10</v>
      </c>
      <c r="I294" s="473">
        <f t="shared" si="88"/>
        <v>22925</v>
      </c>
      <c r="J294" s="473">
        <f t="shared" si="89"/>
        <v>0</v>
      </c>
      <c r="K294" s="473">
        <f t="shared" si="90"/>
        <v>22925</v>
      </c>
      <c r="L294" s="167">
        <f>'[1]AUDIN-OK'!$T$21</f>
        <v>22925</v>
      </c>
      <c r="M294" s="167"/>
      <c r="N294" s="167">
        <f>SUM(L294,M294)</f>
        <v>22925</v>
      </c>
      <c r="O294" s="405"/>
      <c r="P294" s="405"/>
    </row>
    <row r="295" spans="1:20" ht="55.5" hidden="1">
      <c r="A295" s="273" t="s">
        <v>549</v>
      </c>
      <c r="B295" s="481" t="s">
        <v>1127</v>
      </c>
      <c r="C295" s="482" t="s">
        <v>366</v>
      </c>
      <c r="D295" s="483">
        <v>8100</v>
      </c>
      <c r="E295" s="492">
        <v>108288</v>
      </c>
      <c r="F295" s="485" t="s">
        <v>99</v>
      </c>
      <c r="G295" s="488" t="s">
        <v>365</v>
      </c>
      <c r="H295" s="487">
        <v>1</v>
      </c>
      <c r="I295" s="473">
        <f t="shared" si="88"/>
        <v>122508</v>
      </c>
      <c r="J295" s="473">
        <f t="shared" si="89"/>
        <v>0</v>
      </c>
      <c r="K295" s="473">
        <f t="shared" si="90"/>
        <v>122508</v>
      </c>
      <c r="L295" s="167">
        <v>122508</v>
      </c>
      <c r="M295" s="167"/>
      <c r="N295" s="167">
        <f>SUM(L295,M295)</f>
        <v>122508</v>
      </c>
      <c r="O295" s="405"/>
      <c r="P295" s="405"/>
    </row>
    <row r="296" spans="1:20" ht="55.5" hidden="1">
      <c r="A296" s="273" t="s">
        <v>550</v>
      </c>
      <c r="B296" s="481" t="s">
        <v>550</v>
      </c>
      <c r="C296" s="482" t="s">
        <v>427</v>
      </c>
      <c r="D296" s="483">
        <v>8100</v>
      </c>
      <c r="E296" s="492">
        <v>108288</v>
      </c>
      <c r="F296" s="485" t="s">
        <v>470</v>
      </c>
      <c r="G296" s="490" t="s">
        <v>204</v>
      </c>
      <c r="H296" s="491">
        <v>1</v>
      </c>
      <c r="I296" s="473">
        <f t="shared" si="88"/>
        <v>8983621</v>
      </c>
      <c r="J296" s="473">
        <f>INT(M296*$R$139)</f>
        <v>1379439</v>
      </c>
      <c r="K296" s="473">
        <f t="shared" si="90"/>
        <v>10363060</v>
      </c>
      <c r="L296" s="167">
        <v>8983621</v>
      </c>
      <c r="M296" s="167">
        <v>1379439</v>
      </c>
      <c r="N296" s="167">
        <f>SUM(L296,M296)</f>
        <v>10363060</v>
      </c>
      <c r="O296" s="405"/>
      <c r="P296" s="405"/>
    </row>
    <row r="297" spans="1:20" ht="55.5" hidden="1">
      <c r="A297" s="273" t="s">
        <v>866</v>
      </c>
      <c r="B297" s="481" t="s">
        <v>866</v>
      </c>
      <c r="C297" s="490" t="s">
        <v>823</v>
      </c>
      <c r="D297" s="483">
        <v>8100</v>
      </c>
      <c r="E297" s="492">
        <v>108288</v>
      </c>
      <c r="F297" s="485" t="s">
        <v>470</v>
      </c>
      <c r="G297" s="490" t="s">
        <v>204</v>
      </c>
      <c r="H297" s="491">
        <v>1</v>
      </c>
      <c r="I297" s="473">
        <f t="shared" si="88"/>
        <v>1000000</v>
      </c>
      <c r="J297" s="473">
        <f t="shared" si="89"/>
        <v>0</v>
      </c>
      <c r="K297" s="473">
        <f t="shared" si="90"/>
        <v>1000000</v>
      </c>
      <c r="L297" s="388">
        <v>1000000</v>
      </c>
      <c r="M297" s="414">
        <v>0</v>
      </c>
      <c r="N297" s="388">
        <f>SUM(L297:M297)</f>
        <v>1000000</v>
      </c>
      <c r="O297" s="405"/>
      <c r="P297" s="405"/>
    </row>
    <row r="298" spans="1:20" ht="54.75" hidden="1" customHeight="1">
      <c r="A298" s="273" t="s">
        <v>669</v>
      </c>
      <c r="B298" s="481" t="s">
        <v>1049</v>
      </c>
      <c r="C298" s="490" t="s">
        <v>1315</v>
      </c>
      <c r="D298" s="483">
        <v>8100</v>
      </c>
      <c r="E298" s="484">
        <v>108288</v>
      </c>
      <c r="F298" s="485" t="s">
        <v>470</v>
      </c>
      <c r="G298" s="488" t="s">
        <v>1291</v>
      </c>
      <c r="H298" s="487">
        <v>1</v>
      </c>
      <c r="I298" s="473">
        <f>INT(L298*$Q$139)</f>
        <v>1000000</v>
      </c>
      <c r="J298" s="473">
        <f>INT(M298*$R$139)</f>
        <v>0</v>
      </c>
      <c r="K298" s="473">
        <f>SUM(I298:J298)</f>
        <v>1000000</v>
      </c>
      <c r="L298" s="167">
        <v>1000000</v>
      </c>
      <c r="M298" s="167"/>
      <c r="N298" s="167">
        <f>SUM(L298,M298)</f>
        <v>1000000</v>
      </c>
      <c r="O298" s="405"/>
      <c r="P298" s="405"/>
    </row>
    <row r="299" spans="1:20" ht="54.75" hidden="1" customHeight="1">
      <c r="A299" s="273"/>
      <c r="B299" s="481" t="s">
        <v>1104</v>
      </c>
      <c r="C299" s="482" t="s">
        <v>1034</v>
      </c>
      <c r="D299" s="483">
        <v>8100</v>
      </c>
      <c r="E299" s="492">
        <v>108288</v>
      </c>
      <c r="F299" s="485" t="s">
        <v>470</v>
      </c>
      <c r="G299" s="490" t="s">
        <v>204</v>
      </c>
      <c r="H299" s="491">
        <v>1</v>
      </c>
      <c r="I299" s="473">
        <f t="shared" si="88"/>
        <v>602393</v>
      </c>
      <c r="J299" s="473">
        <f t="shared" si="89"/>
        <v>0</v>
      </c>
      <c r="K299" s="473">
        <f t="shared" si="90"/>
        <v>602393</v>
      </c>
      <c r="L299" s="388">
        <v>602393</v>
      </c>
      <c r="M299" s="414"/>
      <c r="N299" s="388">
        <f>SUM(L299:M299)</f>
        <v>602393</v>
      </c>
      <c r="O299" s="405"/>
      <c r="P299" s="405"/>
    </row>
    <row r="300" spans="1:20" s="510" customFormat="1" ht="50.1" hidden="1" customHeight="1">
      <c r="A300" s="511"/>
      <c r="B300" s="512"/>
      <c r="C300" s="513" t="s">
        <v>274</v>
      </c>
      <c r="D300" s="504"/>
      <c r="E300" s="504"/>
      <c r="F300" s="512"/>
      <c r="G300" s="504"/>
      <c r="H300" s="514"/>
      <c r="I300" s="506">
        <f t="shared" ref="I300:N300" si="91">SUM(I301:I301)</f>
        <v>0</v>
      </c>
      <c r="J300" s="506">
        <f t="shared" si="91"/>
        <v>4446290</v>
      </c>
      <c r="K300" s="506">
        <f t="shared" si="91"/>
        <v>4446290</v>
      </c>
      <c r="L300" s="507">
        <f t="shared" si="91"/>
        <v>0</v>
      </c>
      <c r="M300" s="507">
        <f>SUM(M301:M301)</f>
        <v>4446290</v>
      </c>
      <c r="N300" s="507">
        <f t="shared" si="91"/>
        <v>4446290</v>
      </c>
      <c r="O300" s="508"/>
      <c r="P300" s="508"/>
      <c r="Q300" s="623"/>
      <c r="R300" s="508"/>
      <c r="S300" s="508"/>
      <c r="T300" s="509"/>
    </row>
    <row r="301" spans="1:20" s="98" customFormat="1" ht="55.5" hidden="1">
      <c r="A301" s="493" t="s">
        <v>742</v>
      </c>
      <c r="B301" s="481" t="s">
        <v>742</v>
      </c>
      <c r="C301" s="482" t="s">
        <v>1235</v>
      </c>
      <c r="D301" s="483">
        <v>8108</v>
      </c>
      <c r="E301" s="484">
        <v>108290</v>
      </c>
      <c r="F301" s="485" t="s">
        <v>470</v>
      </c>
      <c r="G301" s="488" t="s">
        <v>79</v>
      </c>
      <c r="H301" s="487">
        <v>1</v>
      </c>
      <c r="I301" s="473">
        <f>INT(L301*$Q$139)</f>
        <v>0</v>
      </c>
      <c r="J301" s="473">
        <f>INT(M301*$R$139)</f>
        <v>4446290</v>
      </c>
      <c r="K301" s="473">
        <f>SUM(I301:J301)</f>
        <v>4446290</v>
      </c>
      <c r="L301" s="388"/>
      <c r="M301" s="494">
        <v>4446290</v>
      </c>
      <c r="N301" s="494">
        <f>SUM(L301,M301)</f>
        <v>4446290</v>
      </c>
      <c r="O301" s="468"/>
      <c r="P301" s="468"/>
      <c r="Q301" s="312"/>
      <c r="R301" s="150"/>
      <c r="S301" s="150"/>
      <c r="T301" s="495"/>
    </row>
    <row r="302" spans="1:20" s="510" customFormat="1" ht="74.25" hidden="1" customHeight="1">
      <c r="A302" s="511"/>
      <c r="B302" s="512"/>
      <c r="C302" s="513" t="s">
        <v>1322</v>
      </c>
      <c r="D302" s="504"/>
      <c r="E302" s="504"/>
      <c r="F302" s="512"/>
      <c r="G302" s="504"/>
      <c r="H302" s="514"/>
      <c r="I302" s="506">
        <f t="shared" ref="I302:N302" si="92">SUM(I303:I303)</f>
        <v>9219963</v>
      </c>
      <c r="J302" s="506">
        <f t="shared" si="92"/>
        <v>0</v>
      </c>
      <c r="K302" s="506">
        <f t="shared" si="92"/>
        <v>9219963</v>
      </c>
      <c r="L302" s="507">
        <f t="shared" si="92"/>
        <v>9219963</v>
      </c>
      <c r="M302" s="507">
        <f t="shared" si="92"/>
        <v>0</v>
      </c>
      <c r="N302" s="507">
        <f t="shared" si="92"/>
        <v>9219963</v>
      </c>
      <c r="O302" s="508"/>
      <c r="P302" s="508"/>
      <c r="Q302" s="623"/>
      <c r="R302" s="508"/>
      <c r="S302" s="508"/>
      <c r="T302" s="509"/>
    </row>
    <row r="303" spans="1:20" s="98" customFormat="1" ht="55.5" hidden="1">
      <c r="A303" s="493" t="s">
        <v>742</v>
      </c>
      <c r="B303" s="481" t="s">
        <v>1326</v>
      </c>
      <c r="C303" s="482" t="s">
        <v>1236</v>
      </c>
      <c r="D303" s="483">
        <v>8100</v>
      </c>
      <c r="E303" s="492">
        <v>138153</v>
      </c>
      <c r="F303" s="485" t="s">
        <v>470</v>
      </c>
      <c r="G303" s="488" t="s">
        <v>79</v>
      </c>
      <c r="H303" s="487">
        <v>1</v>
      </c>
      <c r="I303" s="473">
        <f>INT(L303*$Q$139)</f>
        <v>9219963</v>
      </c>
      <c r="J303" s="473">
        <f>INT(M303*$R$139)</f>
        <v>0</v>
      </c>
      <c r="K303" s="473">
        <f>SUM(I303:J303)</f>
        <v>9219963</v>
      </c>
      <c r="L303" s="388">
        <v>9219963</v>
      </c>
      <c r="M303" s="494"/>
      <c r="N303" s="494">
        <f>SUM(L303,M303)</f>
        <v>9219963</v>
      </c>
      <c r="O303" s="468"/>
      <c r="P303" s="468"/>
      <c r="Q303" s="312"/>
      <c r="R303" s="150"/>
      <c r="S303" s="150"/>
      <c r="T303" s="495"/>
    </row>
    <row r="304" spans="1:20" ht="37.5" hidden="1" customHeight="1">
      <c r="A304" s="13"/>
      <c r="B304" s="474"/>
      <c r="C304" s="475"/>
      <c r="D304" s="475"/>
      <c r="E304" s="475"/>
      <c r="F304" s="475"/>
      <c r="G304" s="475"/>
      <c r="H304" s="475"/>
      <c r="I304" s="475"/>
      <c r="J304" s="475"/>
      <c r="K304" s="476"/>
      <c r="L304" s="22"/>
      <c r="M304" s="22"/>
      <c r="N304" s="22"/>
    </row>
    <row r="305" spans="1:20" s="472" customFormat="1" ht="45" hidden="1" customHeight="1">
      <c r="A305" s="478" t="s">
        <v>200</v>
      </c>
      <c r="B305" s="1263" t="s">
        <v>200</v>
      </c>
      <c r="C305" s="1264"/>
      <c r="D305" s="1264"/>
      <c r="E305" s="1264"/>
      <c r="F305" s="1264"/>
      <c r="G305" s="1264"/>
      <c r="H305" s="1279"/>
      <c r="I305" s="479">
        <f>SUM(I292,I302)</f>
        <v>21004545</v>
      </c>
      <c r="J305" s="479">
        <f>SUM(J292,J302,J300)</f>
        <v>5825729</v>
      </c>
      <c r="K305" s="479">
        <f>SUM(K292,K302,K300)</f>
        <v>26830274</v>
      </c>
      <c r="L305" s="480">
        <f>SUM(L292,L302)</f>
        <v>21004545</v>
      </c>
      <c r="M305" s="480">
        <f>SUM(M292,M302,M300)</f>
        <v>5825729</v>
      </c>
      <c r="N305" s="480">
        <f>SUM(N292,N302)</f>
        <v>22383984</v>
      </c>
      <c r="O305" s="470"/>
      <c r="P305" s="470"/>
      <c r="Q305" s="622"/>
      <c r="R305" s="470"/>
      <c r="S305" s="470"/>
      <c r="T305" s="471"/>
    </row>
    <row r="306" spans="1:20" ht="33" hidden="1" customHeight="1">
      <c r="A306" s="25" t="s">
        <v>537</v>
      </c>
      <c r="B306" s="1280" t="s">
        <v>1316</v>
      </c>
      <c r="C306" s="1280"/>
      <c r="D306" s="1280"/>
      <c r="E306" s="1280"/>
      <c r="F306" s="1280"/>
      <c r="G306" s="1280"/>
      <c r="H306" s="1280"/>
      <c r="I306" s="1280"/>
      <c r="J306" s="1280"/>
      <c r="K306" s="1280"/>
      <c r="L306" s="1280"/>
      <c r="M306" s="1280"/>
      <c r="N306" s="1280"/>
    </row>
    <row r="307" spans="1:20" ht="42" hidden="1" customHeight="1">
      <c r="A307" s="75"/>
      <c r="B307" s="1281"/>
      <c r="C307" s="1281"/>
      <c r="D307" s="1281"/>
      <c r="E307" s="1281"/>
      <c r="F307" s="1281"/>
      <c r="G307" s="1281"/>
      <c r="H307" s="1281"/>
      <c r="I307" s="1281"/>
      <c r="J307" s="1281"/>
      <c r="K307" s="1281"/>
      <c r="L307" s="113"/>
      <c r="M307" s="365"/>
      <c r="N307" s="365"/>
    </row>
    <row r="308" spans="1:20" ht="71.25" hidden="1" customHeight="1">
      <c r="A308" s="30"/>
      <c r="B308" s="1062"/>
      <c r="C308" s="1062"/>
      <c r="D308" s="1062"/>
      <c r="E308" s="1062"/>
      <c r="F308" s="1062"/>
      <c r="G308" s="1062"/>
      <c r="H308" s="1062"/>
      <c r="I308" s="1062"/>
      <c r="J308" s="1062"/>
      <c r="K308" s="1062"/>
      <c r="L308" s="30"/>
      <c r="M308" s="30"/>
      <c r="N308" s="30"/>
    </row>
    <row r="309" spans="1:20" ht="70.5" hidden="1" customHeight="1">
      <c r="A309" s="76"/>
      <c r="B309" s="1062"/>
      <c r="C309" s="1062"/>
      <c r="D309" s="1062"/>
      <c r="E309" s="1062"/>
      <c r="F309" s="1062"/>
      <c r="G309" s="1062"/>
      <c r="H309" s="1062"/>
      <c r="I309" s="1062"/>
      <c r="J309" s="1062"/>
      <c r="K309" s="1062"/>
      <c r="L309" s="30"/>
      <c r="M309" s="30"/>
      <c r="N309" s="30"/>
    </row>
    <row r="310" spans="1:20" s="17" customFormat="1" ht="39.950000000000003" hidden="1" customHeight="1">
      <c r="A310" s="76"/>
      <c r="B310" s="76"/>
      <c r="C310" s="76"/>
      <c r="D310" s="76"/>
      <c r="E310" s="76"/>
      <c r="F310" s="76"/>
      <c r="G310" s="77"/>
      <c r="H310" s="77"/>
      <c r="I310" s="77"/>
      <c r="J310" s="77"/>
      <c r="K310" s="77"/>
      <c r="L310" s="76"/>
      <c r="M310" s="76"/>
      <c r="N310" s="76"/>
      <c r="O310" s="28"/>
      <c r="P310" s="28"/>
      <c r="Q310" s="312"/>
      <c r="R310" s="28"/>
      <c r="S310" s="28"/>
      <c r="T310" s="29"/>
    </row>
    <row r="311" spans="1:20" s="17" customFormat="1" ht="20.100000000000001" hidden="1" customHeight="1">
      <c r="A311" s="76"/>
      <c r="B311" s="76"/>
      <c r="C311" s="76"/>
      <c r="D311" s="76"/>
      <c r="E311" s="76"/>
      <c r="F311" s="76"/>
      <c r="G311" s="77"/>
      <c r="H311" s="77"/>
      <c r="I311" s="77"/>
      <c r="J311" s="77"/>
      <c r="K311" s="77"/>
      <c r="L311" s="76"/>
      <c r="M311" s="76"/>
      <c r="N311" s="76"/>
      <c r="O311" s="28"/>
      <c r="P311" s="28"/>
      <c r="Q311" s="312"/>
      <c r="R311" s="28"/>
      <c r="S311" s="28"/>
      <c r="T311" s="29"/>
    </row>
    <row r="312" spans="1:20" s="17" customFormat="1" ht="20.100000000000001" hidden="1" customHeight="1">
      <c r="A312" s="76"/>
      <c r="B312" s="76"/>
      <c r="C312" s="76"/>
      <c r="D312" s="76"/>
      <c r="E312" s="76"/>
      <c r="F312" s="76"/>
      <c r="G312" s="77"/>
      <c r="H312" s="77"/>
      <c r="I312" s="77"/>
      <c r="J312" s="77"/>
      <c r="K312" s="77"/>
      <c r="L312" s="76"/>
      <c r="M312" s="76"/>
      <c r="N312" s="76"/>
      <c r="O312" s="28"/>
      <c r="P312" s="28"/>
      <c r="Q312" s="312"/>
      <c r="R312" s="28"/>
      <c r="S312" s="28"/>
      <c r="T312" s="29"/>
    </row>
    <row r="313" spans="1:20" s="17" customFormat="1" ht="20.100000000000001" hidden="1" customHeight="1">
      <c r="A313" s="76"/>
      <c r="B313" s="76"/>
      <c r="C313" s="76"/>
      <c r="D313" s="76"/>
      <c r="E313" s="76"/>
      <c r="F313" s="76"/>
      <c r="G313" s="77"/>
      <c r="H313" s="77"/>
      <c r="I313" s="77"/>
      <c r="J313" s="77"/>
      <c r="K313" s="77"/>
      <c r="L313" s="76"/>
      <c r="M313" s="76"/>
      <c r="N313" s="76"/>
      <c r="O313" s="28"/>
      <c r="P313" s="28"/>
      <c r="Q313" s="312"/>
      <c r="R313" s="28"/>
      <c r="S313" s="28"/>
      <c r="T313" s="29"/>
    </row>
    <row r="314" spans="1:20" ht="20.100000000000001" hidden="1" customHeight="1">
      <c r="A314" s="76"/>
      <c r="B314" s="76"/>
      <c r="C314" s="76"/>
      <c r="D314" s="76"/>
      <c r="E314" s="76"/>
      <c r="F314" s="76"/>
      <c r="G314" s="77"/>
      <c r="H314" s="77"/>
      <c r="I314" s="77"/>
      <c r="J314" s="77"/>
      <c r="K314" s="77"/>
      <c r="L314" s="76"/>
      <c r="M314" s="76"/>
      <c r="N314" s="76"/>
    </row>
    <row r="315" spans="1:20" ht="20.100000000000001" hidden="1" customHeight="1">
      <c r="A315" s="76"/>
      <c r="B315" s="76"/>
      <c r="C315" s="76"/>
      <c r="D315" s="76"/>
      <c r="E315" s="76"/>
      <c r="F315" s="76"/>
      <c r="G315" s="77"/>
      <c r="H315" s="77"/>
      <c r="I315" s="77"/>
      <c r="J315" s="77"/>
      <c r="K315" s="77"/>
      <c r="L315" s="76"/>
      <c r="M315" s="76"/>
      <c r="N315" s="76"/>
    </row>
    <row r="316" spans="1:20" ht="20.100000000000001" hidden="1" customHeight="1">
      <c r="A316" s="59"/>
      <c r="B316" s="59"/>
      <c r="C316" s="73"/>
      <c r="D316" s="73"/>
      <c r="E316" s="73"/>
      <c r="F316" s="70"/>
      <c r="G316" s="70"/>
      <c r="H316" s="70"/>
      <c r="I316" s="70"/>
      <c r="J316" s="70"/>
      <c r="K316" s="70"/>
      <c r="L316" s="73"/>
      <c r="M316" s="73"/>
      <c r="N316" s="73"/>
    </row>
    <row r="317" spans="1:20" ht="20.100000000000001" hidden="1" customHeight="1" thickBot="1">
      <c r="C317" s="78"/>
      <c r="D317" s="78"/>
      <c r="E317" s="78"/>
      <c r="H317" s="43"/>
      <c r="I317" s="43"/>
      <c r="J317" s="43"/>
      <c r="K317" s="43"/>
      <c r="L317" s="79"/>
      <c r="M317" s="79"/>
      <c r="N317" s="80"/>
    </row>
    <row r="318" spans="1:20" ht="29.25" hidden="1" customHeight="1">
      <c r="C318" s="1204" t="s">
        <v>51</v>
      </c>
      <c r="D318" s="1204"/>
      <c r="E318" s="1204"/>
      <c r="F318" s="1204"/>
      <c r="H318" s="1243" t="s">
        <v>11</v>
      </c>
      <c r="I318" s="1244"/>
      <c r="J318" s="1244"/>
      <c r="K318" s="1245"/>
      <c r="L318" s="337"/>
      <c r="M318" s="337"/>
      <c r="N318" s="337"/>
    </row>
    <row r="319" spans="1:20" ht="29.25" hidden="1" customHeight="1">
      <c r="C319" s="1204" t="s">
        <v>52</v>
      </c>
      <c r="D319" s="1204"/>
      <c r="E319" s="1204"/>
      <c r="F319" s="1204"/>
      <c r="H319" s="1208" t="s">
        <v>96</v>
      </c>
      <c r="I319" s="1209"/>
      <c r="J319" s="1209"/>
      <c r="K319" s="1210"/>
      <c r="L319" s="336"/>
      <c r="M319" s="336"/>
      <c r="N319" s="336"/>
    </row>
    <row r="320" spans="1:20" ht="29.25" hidden="1" customHeight="1">
      <c r="C320" s="1204" t="s">
        <v>50</v>
      </c>
      <c r="D320" s="1204"/>
      <c r="E320" s="1204"/>
      <c r="F320" s="1204"/>
      <c r="G320" s="44"/>
      <c r="H320" s="1211"/>
      <c r="I320" s="1212"/>
      <c r="J320" s="1212"/>
      <c r="K320" s="1213"/>
      <c r="L320" s="336"/>
      <c r="M320" s="336"/>
      <c r="N320" s="336"/>
    </row>
    <row r="321" spans="1:20" ht="42" hidden="1" customHeight="1">
      <c r="C321" s="1252"/>
      <c r="D321" s="1252"/>
      <c r="E321" s="1252"/>
      <c r="F321" s="1252"/>
      <c r="G321" s="44"/>
      <c r="H321" s="1211" t="s">
        <v>22</v>
      </c>
      <c r="I321" s="1212"/>
      <c r="J321" s="1212"/>
      <c r="K321" s="477">
        <f>K333</f>
        <v>2200000</v>
      </c>
      <c r="L321" s="336"/>
      <c r="M321" s="336"/>
      <c r="N321" s="86"/>
    </row>
    <row r="322" spans="1:20" ht="45" hidden="1" customHeight="1" thickBot="1">
      <c r="A322" s="75"/>
      <c r="B322" s="75"/>
      <c r="C322" s="65"/>
      <c r="D322" s="65"/>
      <c r="E322" s="65"/>
      <c r="F322" s="10"/>
      <c r="G322" s="10"/>
      <c r="H322" s="1283" t="s">
        <v>13</v>
      </c>
      <c r="I322" s="1284"/>
      <c r="J322" s="1284"/>
      <c r="K322" s="1285"/>
      <c r="L322" s="336"/>
      <c r="M322" s="336"/>
      <c r="N322" s="336"/>
    </row>
    <row r="323" spans="1:20" ht="17.100000000000001" hidden="1" customHeight="1">
      <c r="A323" s="75"/>
      <c r="B323" s="75"/>
      <c r="C323" s="65"/>
      <c r="D323" s="65"/>
      <c r="E323" s="65"/>
      <c r="F323" s="10"/>
      <c r="G323" s="10"/>
      <c r="L323" s="3"/>
      <c r="M323" s="3"/>
      <c r="N323" s="3"/>
    </row>
    <row r="324" spans="1:20" ht="20.100000000000001" hidden="1" customHeight="1">
      <c r="A324" s="75"/>
      <c r="B324" s="75"/>
      <c r="C324" s="65"/>
      <c r="D324" s="65"/>
      <c r="E324" s="65"/>
      <c r="F324" s="10"/>
      <c r="G324" s="10"/>
      <c r="L324" s="3"/>
      <c r="M324" s="3"/>
      <c r="N324" s="3"/>
    </row>
    <row r="325" spans="1:20" ht="20.100000000000001" hidden="1" customHeight="1">
      <c r="A325" s="75"/>
      <c r="B325" s="75"/>
      <c r="C325" s="65"/>
      <c r="D325" s="65"/>
      <c r="E325" s="65"/>
      <c r="F325" s="10"/>
      <c r="G325" s="10"/>
      <c r="L325" s="10"/>
      <c r="M325" s="10"/>
      <c r="N325" s="10"/>
    </row>
    <row r="326" spans="1:20" ht="20.100000000000001" hidden="1" customHeight="1">
      <c r="A326" s="75"/>
      <c r="B326" s="75"/>
      <c r="C326" s="65"/>
      <c r="D326" s="65"/>
      <c r="E326" s="65"/>
      <c r="F326" s="10"/>
      <c r="G326" s="10"/>
      <c r="L326" s="10"/>
      <c r="M326" s="10"/>
      <c r="N326" s="10"/>
    </row>
    <row r="327" spans="1:20" ht="44.25" hidden="1" customHeight="1">
      <c r="A327" s="346" t="s">
        <v>814</v>
      </c>
      <c r="B327" s="1226" t="s">
        <v>1037</v>
      </c>
      <c r="C327" s="1226"/>
      <c r="D327" s="1226"/>
      <c r="E327" s="1226"/>
      <c r="F327" s="1226"/>
      <c r="G327" s="1226"/>
      <c r="H327" s="1226"/>
      <c r="I327" s="1226"/>
      <c r="J327" s="1226"/>
      <c r="K327" s="1226"/>
      <c r="L327" s="346"/>
      <c r="M327" s="346"/>
      <c r="N327" s="346"/>
      <c r="O327" s="27"/>
      <c r="P327" s="27"/>
      <c r="Q327" s="620"/>
      <c r="R327" s="27"/>
      <c r="S327" s="27"/>
      <c r="T327" s="27"/>
    </row>
    <row r="328" spans="1:20" ht="24.95" hidden="1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</row>
    <row r="329" spans="1:20" s="500" customFormat="1" ht="90" hidden="1">
      <c r="A329" s="496" t="s">
        <v>14</v>
      </c>
      <c r="B329" s="497" t="s">
        <v>14</v>
      </c>
      <c r="C329" s="497" t="s">
        <v>37</v>
      </c>
      <c r="D329" s="497" t="s">
        <v>440</v>
      </c>
      <c r="E329" s="497" t="s">
        <v>16</v>
      </c>
      <c r="F329" s="497" t="s">
        <v>185</v>
      </c>
      <c r="G329" s="497" t="s">
        <v>178</v>
      </c>
      <c r="H329" s="497" t="s">
        <v>179</v>
      </c>
      <c r="I329" s="497" t="s">
        <v>180</v>
      </c>
      <c r="J329" s="497" t="s">
        <v>181</v>
      </c>
      <c r="K329" s="497" t="s">
        <v>200</v>
      </c>
      <c r="L329" s="496" t="s">
        <v>180</v>
      </c>
      <c r="M329" s="496" t="s">
        <v>181</v>
      </c>
      <c r="N329" s="496" t="s">
        <v>200</v>
      </c>
      <c r="O329" s="498"/>
      <c r="P329" s="498"/>
      <c r="Q329" s="622"/>
      <c r="R329" s="498"/>
      <c r="S329" s="498"/>
      <c r="T329" s="499"/>
    </row>
    <row r="330" spans="1:20" s="510" customFormat="1" ht="50.1" hidden="1" customHeight="1">
      <c r="A330" s="501"/>
      <c r="B330" s="502"/>
      <c r="C330" s="503" t="s">
        <v>273</v>
      </c>
      <c r="D330" s="504"/>
      <c r="E330" s="505"/>
      <c r="F330" s="504"/>
      <c r="G330" s="504"/>
      <c r="H330" s="504"/>
      <c r="I330" s="506">
        <f>SUM(I331:I331)</f>
        <v>2200000</v>
      </c>
      <c r="J330" s="506"/>
      <c r="K330" s="506">
        <f>SUM(K331:K331)</f>
        <v>2200000</v>
      </c>
      <c r="L330" s="507">
        <f>SUM(L331:L331)</f>
        <v>2200000</v>
      </c>
      <c r="M330" s="507"/>
      <c r="N330" s="507">
        <f>SUM(N331:N331)</f>
        <v>2200000</v>
      </c>
      <c r="O330" s="508"/>
      <c r="P330" s="508"/>
      <c r="Q330" s="623"/>
      <c r="R330" s="508"/>
      <c r="S330" s="508"/>
      <c r="T330" s="509"/>
    </row>
    <row r="331" spans="1:20" ht="52.5" hidden="1" customHeight="1">
      <c r="A331" s="273" t="s">
        <v>551</v>
      </c>
      <c r="B331" s="481" t="s">
        <v>551</v>
      </c>
      <c r="C331" s="482" t="s">
        <v>62</v>
      </c>
      <c r="D331" s="483">
        <v>8100</v>
      </c>
      <c r="E331" s="492">
        <v>108288</v>
      </c>
      <c r="F331" s="485" t="s">
        <v>324</v>
      </c>
      <c r="G331" s="486" t="s">
        <v>204</v>
      </c>
      <c r="H331" s="487">
        <v>1</v>
      </c>
      <c r="I331" s="473">
        <f>INT(L331*$Q$139)</f>
        <v>2200000</v>
      </c>
      <c r="J331" s="473">
        <f>INT(M331*$R$139)</f>
        <v>0</v>
      </c>
      <c r="K331" s="473">
        <f>SUM(I331:J331)</f>
        <v>2200000</v>
      </c>
      <c r="L331" s="167">
        <v>2200000</v>
      </c>
      <c r="M331" s="167"/>
      <c r="N331" s="167">
        <f>SUM(L331,M331)</f>
        <v>2200000</v>
      </c>
      <c r="O331" s="405"/>
      <c r="P331" s="405"/>
    </row>
    <row r="332" spans="1:20" ht="65.099999999999994" hidden="1" customHeight="1">
      <c r="A332" s="75"/>
      <c r="B332" s="232"/>
      <c r="C332" s="233"/>
      <c r="D332" s="233"/>
      <c r="E332" s="233"/>
      <c r="F332" s="232"/>
      <c r="G332" s="234"/>
      <c r="H332" s="234"/>
      <c r="I332" s="390"/>
      <c r="J332" s="390"/>
      <c r="K332" s="390"/>
      <c r="L332" s="235"/>
      <c r="M332" s="236"/>
      <c r="N332" s="235"/>
    </row>
    <row r="333" spans="1:20" s="472" customFormat="1" ht="45" hidden="1" customHeight="1">
      <c r="A333" s="478" t="s">
        <v>200</v>
      </c>
      <c r="B333" s="1263" t="s">
        <v>200</v>
      </c>
      <c r="C333" s="1264"/>
      <c r="D333" s="1264"/>
      <c r="E333" s="1264"/>
      <c r="F333" s="1264"/>
      <c r="G333" s="1264"/>
      <c r="H333" s="1265"/>
      <c r="I333" s="479">
        <f t="shared" ref="I333:N333" si="93">SUM(I330)</f>
        <v>2200000</v>
      </c>
      <c r="J333" s="479">
        <f t="shared" si="93"/>
        <v>0</v>
      </c>
      <c r="K333" s="479">
        <f t="shared" si="93"/>
        <v>2200000</v>
      </c>
      <c r="L333" s="480">
        <f t="shared" si="93"/>
        <v>2200000</v>
      </c>
      <c r="M333" s="480">
        <f t="shared" si="93"/>
        <v>0</v>
      </c>
      <c r="N333" s="480">
        <f t="shared" si="93"/>
        <v>2200000</v>
      </c>
      <c r="O333" s="470"/>
      <c r="P333" s="470"/>
      <c r="Q333" s="622"/>
      <c r="R333" s="470"/>
      <c r="S333" s="470"/>
      <c r="T333" s="471"/>
    </row>
    <row r="334" spans="1:20" ht="68.25" hidden="1" customHeight="1">
      <c r="A334" s="25"/>
      <c r="B334" s="25"/>
      <c r="C334" s="1286"/>
      <c r="D334" s="1286"/>
      <c r="E334" s="1286"/>
      <c r="F334" s="1286"/>
      <c r="G334" s="1286"/>
      <c r="H334" s="1286"/>
      <c r="I334" s="1286"/>
      <c r="J334" s="1286"/>
      <c r="K334" s="1286"/>
      <c r="L334" s="1286"/>
      <c r="M334" s="1286"/>
      <c r="N334" s="1286"/>
    </row>
    <row r="335" spans="1:20" ht="39.950000000000003" hidden="1" customHeight="1">
      <c r="A335" s="75"/>
      <c r="B335" s="75"/>
      <c r="C335" s="65"/>
      <c r="D335" s="65"/>
      <c r="E335" s="65"/>
      <c r="F335" s="75"/>
      <c r="G335" s="83"/>
      <c r="H335" s="83"/>
      <c r="I335" s="83"/>
      <c r="J335" s="83"/>
      <c r="K335" s="83"/>
      <c r="L335" s="75"/>
      <c r="M335" s="75"/>
      <c r="N335" s="75"/>
    </row>
    <row r="336" spans="1:20" ht="50.1" hidden="1" customHeight="1">
      <c r="A336" s="75"/>
      <c r="B336" s="75"/>
      <c r="C336" s="65"/>
      <c r="D336" s="65"/>
      <c r="E336" s="65"/>
      <c r="F336" s="75"/>
      <c r="G336" s="83"/>
      <c r="H336" s="83"/>
      <c r="I336" s="83"/>
      <c r="J336" s="83"/>
      <c r="K336" s="83"/>
      <c r="L336" s="75"/>
      <c r="M336" s="75"/>
      <c r="N336" s="75"/>
    </row>
    <row r="337" spans="1:20" ht="39.950000000000003" hidden="1" customHeight="1">
      <c r="A337" s="75"/>
      <c r="B337" s="75"/>
      <c r="C337" s="65"/>
      <c r="D337" s="65"/>
      <c r="E337" s="65"/>
      <c r="F337" s="75"/>
      <c r="G337" s="83"/>
      <c r="H337" s="83"/>
      <c r="I337" s="83"/>
      <c r="J337" s="83"/>
      <c r="K337" s="83"/>
      <c r="L337" s="75"/>
      <c r="M337" s="75"/>
      <c r="N337" s="75"/>
    </row>
    <row r="338" spans="1:20" ht="24.95" hidden="1" customHeight="1">
      <c r="A338" s="75"/>
      <c r="B338" s="75"/>
      <c r="C338" s="65"/>
      <c r="D338" s="65"/>
      <c r="E338" s="65"/>
      <c r="F338" s="75"/>
      <c r="G338" s="83"/>
      <c r="H338" s="83"/>
      <c r="I338" s="83"/>
      <c r="J338" s="83"/>
      <c r="K338" s="83"/>
      <c r="L338" s="75"/>
      <c r="M338" s="75"/>
      <c r="N338" s="75"/>
    </row>
    <row r="339" spans="1:20" s="17" customFormat="1" ht="39.950000000000003" hidden="1" customHeight="1">
      <c r="A339" s="75"/>
      <c r="B339" s="75"/>
      <c r="C339" s="65"/>
      <c r="D339" s="65"/>
      <c r="E339" s="65"/>
      <c r="F339" s="75"/>
      <c r="G339" s="83"/>
      <c r="H339" s="83"/>
      <c r="I339" s="83"/>
      <c r="J339" s="83"/>
      <c r="K339" s="83"/>
      <c r="L339" s="75"/>
      <c r="M339" s="75"/>
      <c r="N339" s="75"/>
      <c r="O339" s="28"/>
      <c r="P339" s="28"/>
      <c r="Q339" s="312"/>
      <c r="R339" s="28"/>
      <c r="S339" s="28"/>
      <c r="T339" s="29"/>
    </row>
    <row r="340" spans="1:20" ht="45" hidden="1" customHeight="1">
      <c r="A340" s="75"/>
      <c r="B340" s="75"/>
      <c r="C340" s="65"/>
      <c r="D340" s="65"/>
      <c r="E340" s="65"/>
      <c r="F340" s="75"/>
      <c r="G340" s="83"/>
      <c r="H340" s="83"/>
      <c r="I340" s="83"/>
      <c r="J340" s="83"/>
      <c r="K340" s="83"/>
      <c r="L340" s="75"/>
      <c r="M340" s="75"/>
      <c r="N340" s="75"/>
    </row>
    <row r="341" spans="1:20" ht="17.100000000000001" hidden="1" customHeight="1">
      <c r="A341" s="75"/>
      <c r="B341" s="75"/>
      <c r="C341" s="65"/>
      <c r="D341" s="65"/>
      <c r="E341" s="65"/>
      <c r="F341" s="75"/>
      <c r="G341" s="83"/>
      <c r="H341" s="83"/>
      <c r="I341" s="83"/>
      <c r="J341" s="83"/>
      <c r="K341" s="83"/>
      <c r="L341" s="75"/>
      <c r="M341" s="75"/>
      <c r="N341" s="75"/>
    </row>
    <row r="342" spans="1:20" ht="17.100000000000001" hidden="1" customHeight="1">
      <c r="A342" s="75"/>
      <c r="B342" s="75"/>
      <c r="C342" s="65"/>
      <c r="D342" s="65"/>
      <c r="E342" s="65"/>
      <c r="F342" s="75"/>
      <c r="G342" s="83"/>
      <c r="H342" s="83"/>
      <c r="I342" s="83"/>
      <c r="J342" s="83"/>
      <c r="K342" s="83"/>
      <c r="L342" s="75"/>
      <c r="M342" s="75"/>
      <c r="N342" s="75"/>
    </row>
    <row r="343" spans="1:20" ht="17.100000000000001" hidden="1" customHeight="1">
      <c r="A343" s="75"/>
      <c r="B343" s="75"/>
      <c r="C343" s="65"/>
      <c r="D343" s="65"/>
      <c r="E343" s="65"/>
      <c r="F343" s="75"/>
      <c r="G343" s="83"/>
      <c r="H343" s="83"/>
      <c r="I343" s="83"/>
      <c r="J343" s="83"/>
      <c r="K343" s="83"/>
      <c r="L343" s="75"/>
      <c r="M343" s="75"/>
      <c r="N343" s="75"/>
    </row>
    <row r="344" spans="1:20" ht="17.100000000000001" hidden="1" customHeight="1">
      <c r="A344" s="75"/>
      <c r="B344" s="75"/>
      <c r="C344" s="65"/>
      <c r="D344" s="65"/>
      <c r="E344" s="65"/>
      <c r="F344" s="75"/>
      <c r="G344" s="83"/>
      <c r="H344" s="83"/>
      <c r="I344" s="83"/>
      <c r="J344" s="83"/>
      <c r="K344" s="83"/>
      <c r="L344" s="75"/>
      <c r="M344" s="75"/>
      <c r="N344" s="75"/>
    </row>
    <row r="345" spans="1:20" ht="17.100000000000001" hidden="1" customHeight="1">
      <c r="A345" s="75"/>
      <c r="B345" s="75"/>
      <c r="C345" s="65"/>
      <c r="D345" s="65"/>
      <c r="E345" s="65"/>
      <c r="F345" s="75"/>
      <c r="G345" s="83"/>
      <c r="H345" s="83"/>
      <c r="I345" s="83"/>
      <c r="J345" s="83"/>
      <c r="K345" s="83"/>
      <c r="L345" s="75"/>
      <c r="M345" s="75"/>
      <c r="N345" s="75"/>
    </row>
    <row r="346" spans="1:20" ht="17.100000000000001" hidden="1" customHeight="1">
      <c r="A346" s="75"/>
      <c r="B346" s="75"/>
      <c r="C346" s="65"/>
      <c r="D346" s="65"/>
      <c r="E346" s="65"/>
      <c r="F346" s="75"/>
      <c r="G346" s="83"/>
      <c r="H346" s="83"/>
      <c r="I346" s="83"/>
      <c r="J346" s="83"/>
      <c r="K346" s="83"/>
      <c r="L346" s="75"/>
      <c r="M346" s="75"/>
      <c r="N346" s="75"/>
    </row>
    <row r="347" spans="1:20" ht="17.100000000000001" hidden="1" customHeight="1">
      <c r="A347" s="75"/>
      <c r="B347" s="75"/>
      <c r="C347" s="65"/>
      <c r="D347" s="65"/>
      <c r="E347" s="65"/>
      <c r="F347" s="75"/>
      <c r="G347" s="83"/>
      <c r="H347" s="83"/>
      <c r="I347" s="83"/>
      <c r="J347" s="83"/>
      <c r="K347" s="83"/>
      <c r="L347" s="75"/>
      <c r="M347" s="75"/>
      <c r="N347" s="75"/>
    </row>
    <row r="348" spans="1:20" ht="17.100000000000001" hidden="1" customHeight="1">
      <c r="A348" s="75"/>
      <c r="B348" s="75"/>
      <c r="C348" s="65"/>
      <c r="D348" s="65"/>
      <c r="E348" s="65"/>
      <c r="F348" s="75"/>
      <c r="G348" s="83"/>
      <c r="H348" s="83"/>
      <c r="I348" s="83"/>
      <c r="J348" s="83"/>
      <c r="K348" s="83"/>
      <c r="L348" s="75"/>
      <c r="M348" s="75"/>
      <c r="N348" s="75"/>
    </row>
    <row r="349" spans="1:20" ht="17.100000000000001" hidden="1" customHeight="1">
      <c r="A349" s="75"/>
      <c r="B349" s="75"/>
      <c r="C349" s="65"/>
      <c r="D349" s="65"/>
      <c r="E349" s="65"/>
      <c r="F349" s="75"/>
      <c r="G349" s="83"/>
      <c r="H349" s="83"/>
      <c r="I349" s="83"/>
      <c r="J349" s="83"/>
      <c r="K349" s="83"/>
      <c r="L349" s="75"/>
      <c r="M349" s="75"/>
      <c r="N349" s="75"/>
    </row>
    <row r="350" spans="1:20" ht="17.100000000000001" hidden="1" customHeight="1">
      <c r="A350" s="75"/>
      <c r="B350" s="75"/>
      <c r="C350" s="65"/>
      <c r="D350" s="65"/>
      <c r="E350" s="65"/>
      <c r="F350" s="75"/>
      <c r="G350" s="83"/>
      <c r="H350" s="83"/>
      <c r="I350" s="83"/>
      <c r="J350" s="83"/>
      <c r="K350" s="83"/>
      <c r="L350" s="75"/>
      <c r="M350" s="75"/>
      <c r="N350" s="75"/>
    </row>
    <row r="351" spans="1:20" ht="17.100000000000001" hidden="1" customHeight="1">
      <c r="A351" s="75"/>
      <c r="B351" s="75"/>
      <c r="C351" s="65"/>
      <c r="D351" s="65"/>
      <c r="E351" s="65"/>
      <c r="F351" s="75"/>
      <c r="G351" s="83"/>
      <c r="H351" s="83"/>
      <c r="I351" s="83"/>
      <c r="J351" s="83"/>
      <c r="K351" s="83"/>
      <c r="L351" s="75"/>
      <c r="M351" s="75"/>
      <c r="N351" s="75"/>
    </row>
    <row r="352" spans="1:20" ht="17.100000000000001" hidden="1" customHeight="1">
      <c r="A352" s="75"/>
      <c r="B352" s="75"/>
      <c r="C352" s="65"/>
      <c r="D352" s="65"/>
      <c r="E352" s="65"/>
      <c r="F352" s="75"/>
      <c r="G352" s="83"/>
      <c r="H352" s="83"/>
      <c r="I352" s="83"/>
      <c r="J352" s="83"/>
      <c r="K352" s="83"/>
      <c r="L352" s="75"/>
      <c r="M352" s="75"/>
      <c r="N352" s="75"/>
    </row>
    <row r="353" spans="1:20" ht="17.100000000000001" hidden="1" customHeight="1">
      <c r="A353" s="75"/>
      <c r="B353" s="75"/>
      <c r="C353" s="65"/>
      <c r="D353" s="65"/>
      <c r="E353" s="65"/>
      <c r="F353" s="75"/>
      <c r="G353" s="83"/>
      <c r="H353" s="83"/>
      <c r="I353" s="83"/>
      <c r="J353" s="83"/>
      <c r="K353" s="83"/>
      <c r="L353" s="75"/>
      <c r="M353" s="75"/>
      <c r="N353" s="75"/>
    </row>
    <row r="354" spans="1:20" ht="17.100000000000001" hidden="1" customHeight="1">
      <c r="A354" s="75"/>
      <c r="B354" s="75"/>
      <c r="C354" s="65"/>
      <c r="D354" s="65"/>
      <c r="E354" s="65"/>
      <c r="F354" s="75"/>
      <c r="G354" s="83"/>
      <c r="H354" s="83"/>
      <c r="I354" s="83"/>
      <c r="J354" s="83"/>
      <c r="K354" s="83"/>
      <c r="L354" s="75"/>
      <c r="M354" s="75"/>
      <c r="N354" s="75"/>
    </row>
    <row r="355" spans="1:20" ht="17.100000000000001" hidden="1" customHeight="1">
      <c r="A355" s="75"/>
      <c r="B355" s="75"/>
      <c r="C355" s="65"/>
      <c r="D355" s="65"/>
      <c r="E355" s="65"/>
      <c r="F355" s="75"/>
      <c r="G355" s="83"/>
      <c r="H355" s="83"/>
      <c r="I355" s="83"/>
      <c r="J355" s="83"/>
      <c r="K355" s="83"/>
      <c r="L355" s="75"/>
      <c r="M355" s="75"/>
      <c r="N355" s="75"/>
    </row>
    <row r="356" spans="1:20" ht="17.100000000000001" hidden="1" customHeight="1">
      <c r="A356" s="75"/>
      <c r="B356" s="75"/>
      <c r="C356" s="65"/>
      <c r="D356" s="65"/>
      <c r="E356" s="65"/>
      <c r="F356" s="75"/>
      <c r="G356" s="83"/>
      <c r="H356" s="83"/>
      <c r="I356" s="83"/>
      <c r="J356" s="83"/>
      <c r="K356" s="83"/>
      <c r="L356" s="75"/>
      <c r="M356" s="75"/>
      <c r="N356" s="613"/>
    </row>
    <row r="357" spans="1:20" ht="17.100000000000001" hidden="1" customHeight="1">
      <c r="A357" s="75"/>
      <c r="B357" s="75"/>
      <c r="C357" s="65"/>
      <c r="D357" s="65"/>
      <c r="E357" s="65"/>
      <c r="F357" s="75"/>
      <c r="G357" s="83"/>
      <c r="H357" s="83"/>
      <c r="I357" s="83"/>
      <c r="J357" s="83"/>
      <c r="K357" s="83"/>
      <c r="L357" s="75"/>
      <c r="M357" s="75"/>
      <c r="N357" s="75"/>
    </row>
    <row r="358" spans="1:20" ht="17.100000000000001" hidden="1" customHeight="1">
      <c r="A358" s="75"/>
      <c r="B358" s="75"/>
      <c r="C358" s="65"/>
      <c r="D358" s="65"/>
      <c r="E358" s="65"/>
      <c r="F358" s="75"/>
      <c r="G358" s="83"/>
      <c r="H358" s="83"/>
      <c r="I358" s="83"/>
      <c r="J358" s="83"/>
      <c r="K358" s="83"/>
      <c r="L358" s="75"/>
      <c r="M358" s="75"/>
      <c r="N358" s="75"/>
    </row>
    <row r="359" spans="1:20" ht="17.100000000000001" hidden="1" customHeight="1">
      <c r="A359" s="75"/>
      <c r="B359" s="75"/>
      <c r="C359" s="65"/>
      <c r="D359" s="65"/>
      <c r="E359" s="65"/>
      <c r="F359" s="75"/>
      <c r="G359" s="83"/>
      <c r="H359" s="83"/>
      <c r="I359" s="83"/>
      <c r="J359" s="83"/>
      <c r="K359" s="83"/>
      <c r="L359" s="75"/>
      <c r="M359" s="75"/>
      <c r="N359" s="75"/>
    </row>
    <row r="360" spans="1:20" ht="17.100000000000001" hidden="1" customHeight="1" thickBot="1">
      <c r="A360" s="75"/>
      <c r="B360" s="75"/>
      <c r="C360" s="65"/>
      <c r="D360" s="65"/>
      <c r="E360" s="65"/>
      <c r="F360" s="75"/>
      <c r="G360" s="83"/>
      <c r="H360" s="83"/>
      <c r="I360" s="83"/>
      <c r="J360" s="83"/>
      <c r="K360" s="83"/>
      <c r="L360" s="75"/>
      <c r="M360" s="75"/>
      <c r="N360" s="75"/>
    </row>
    <row r="361" spans="1:20" ht="29.25" hidden="1" customHeight="1">
      <c r="C361" s="1204" t="s">
        <v>51</v>
      </c>
      <c r="D361" s="1204"/>
      <c r="E361" s="1204"/>
      <c r="F361" s="1204"/>
      <c r="H361" s="1243" t="s">
        <v>11</v>
      </c>
      <c r="I361" s="1244"/>
      <c r="J361" s="1244"/>
      <c r="K361" s="1245"/>
      <c r="L361" s="337"/>
      <c r="M361" s="337"/>
      <c r="N361" s="337"/>
    </row>
    <row r="362" spans="1:20" ht="33" hidden="1" customHeight="1">
      <c r="C362" s="1204" t="s">
        <v>52</v>
      </c>
      <c r="D362" s="1204"/>
      <c r="E362" s="1204"/>
      <c r="F362" s="1204"/>
      <c r="H362" s="1208" t="s">
        <v>97</v>
      </c>
      <c r="I362" s="1209"/>
      <c r="J362" s="1209"/>
      <c r="K362" s="1210"/>
      <c r="L362" s="336"/>
      <c r="M362" s="336"/>
      <c r="N362" s="336"/>
    </row>
    <row r="363" spans="1:20" ht="31.5" hidden="1" customHeight="1">
      <c r="C363" s="1204" t="s">
        <v>50</v>
      </c>
      <c r="D363" s="1204"/>
      <c r="E363" s="1204"/>
      <c r="F363" s="1204"/>
      <c r="H363" s="1211"/>
      <c r="I363" s="1212"/>
      <c r="J363" s="1212"/>
      <c r="K363" s="1213"/>
      <c r="L363" s="336"/>
      <c r="M363" s="336"/>
      <c r="N363" s="336"/>
    </row>
    <row r="364" spans="1:20" ht="27" hidden="1" customHeight="1">
      <c r="C364" s="1288"/>
      <c r="D364" s="1288"/>
      <c r="E364" s="1288"/>
      <c r="F364" s="1289"/>
      <c r="G364" s="44"/>
      <c r="H364" s="1211" t="s">
        <v>22</v>
      </c>
      <c r="I364" s="1212"/>
      <c r="J364" s="1212"/>
      <c r="K364" s="477">
        <f>K401</f>
        <v>8230623</v>
      </c>
      <c r="L364" s="336"/>
      <c r="M364" s="336"/>
      <c r="N364" s="86"/>
      <c r="O364" s="312"/>
      <c r="P364" s="312"/>
    </row>
    <row r="365" spans="1:20" ht="39.950000000000003" hidden="1" customHeight="1" thickBot="1">
      <c r="C365" s="1252"/>
      <c r="D365" s="1252"/>
      <c r="E365" s="1252"/>
      <c r="F365" s="1252"/>
      <c r="G365" s="44"/>
      <c r="H365" s="1283" t="s">
        <v>13</v>
      </c>
      <c r="I365" s="1284"/>
      <c r="J365" s="1284"/>
      <c r="K365" s="1285"/>
      <c r="L365" s="336"/>
      <c r="M365" s="336"/>
      <c r="N365" s="336"/>
    </row>
    <row r="366" spans="1:20" ht="20.100000000000001" hidden="1" customHeight="1">
      <c r="C366" s="606"/>
      <c r="D366" s="606"/>
      <c r="E366" s="606"/>
      <c r="F366" s="606"/>
      <c r="G366" s="44"/>
      <c r="H366" s="38"/>
      <c r="I366" s="38"/>
      <c r="J366" s="38"/>
      <c r="K366" s="38"/>
      <c r="L366" s="38"/>
      <c r="M366" s="38"/>
      <c r="N366" s="38"/>
    </row>
    <row r="367" spans="1:20" ht="20.100000000000001" hidden="1" customHeight="1">
      <c r="A367" s="75"/>
      <c r="B367" s="75"/>
      <c r="C367" s="65"/>
      <c r="D367" s="65"/>
      <c r="E367" s="65"/>
      <c r="F367" s="10"/>
      <c r="G367" s="10"/>
      <c r="L367" s="10"/>
      <c r="M367" s="10"/>
      <c r="N367" s="10"/>
    </row>
    <row r="368" spans="1:20" ht="44.25" hidden="1" customHeight="1">
      <c r="A368" s="346" t="s">
        <v>1057</v>
      </c>
      <c r="B368" s="1226" t="s">
        <v>1058</v>
      </c>
      <c r="C368" s="1226"/>
      <c r="D368" s="1226"/>
      <c r="E368" s="1226"/>
      <c r="F368" s="1226"/>
      <c r="G368" s="1226"/>
      <c r="H368" s="1226"/>
      <c r="I368" s="1226"/>
      <c r="J368" s="1226"/>
      <c r="K368" s="1226"/>
      <c r="L368" s="346"/>
      <c r="M368" s="346"/>
      <c r="N368" s="346"/>
      <c r="O368" s="27"/>
      <c r="P368" s="27"/>
      <c r="Q368" s="620"/>
      <c r="R368" s="27"/>
      <c r="S368" s="27"/>
      <c r="T368" s="27"/>
    </row>
    <row r="369" spans="1:20" ht="20.100000000000001" hidden="1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</row>
    <row r="370" spans="1:20" s="500" customFormat="1" ht="90" hidden="1">
      <c r="A370" s="496" t="s">
        <v>14</v>
      </c>
      <c r="B370" s="497" t="s">
        <v>14</v>
      </c>
      <c r="C370" s="497" t="s">
        <v>37</v>
      </c>
      <c r="D370" s="497" t="s">
        <v>440</v>
      </c>
      <c r="E370" s="497" t="s">
        <v>16</v>
      </c>
      <c r="F370" s="497" t="s">
        <v>185</v>
      </c>
      <c r="G370" s="497" t="s">
        <v>178</v>
      </c>
      <c r="H370" s="497" t="s">
        <v>179</v>
      </c>
      <c r="I370" s="497" t="s">
        <v>180</v>
      </c>
      <c r="J370" s="497" t="s">
        <v>181</v>
      </c>
      <c r="K370" s="497" t="s">
        <v>200</v>
      </c>
      <c r="L370" s="496" t="s">
        <v>180</v>
      </c>
      <c r="M370" s="496" t="s">
        <v>181</v>
      </c>
      <c r="N370" s="496" t="s">
        <v>200</v>
      </c>
      <c r="O370" s="498"/>
      <c r="P370" s="498"/>
      <c r="Q370" s="622"/>
      <c r="R370" s="498"/>
      <c r="S370" s="498"/>
      <c r="T370" s="499"/>
    </row>
    <row r="371" spans="1:20" s="510" customFormat="1" ht="50.1" hidden="1" customHeight="1">
      <c r="A371" s="501"/>
      <c r="B371" s="502"/>
      <c r="C371" s="503" t="s">
        <v>273</v>
      </c>
      <c r="D371" s="504"/>
      <c r="E371" s="505"/>
      <c r="F371" s="504"/>
      <c r="G371" s="504"/>
      <c r="H371" s="504"/>
      <c r="I371" s="506">
        <f t="shared" ref="I371:N371" si="94">SUM(I372:I387)</f>
        <v>7615938</v>
      </c>
      <c r="J371" s="506">
        <f t="shared" si="94"/>
        <v>0</v>
      </c>
      <c r="K371" s="506">
        <f t="shared" si="94"/>
        <v>7615938</v>
      </c>
      <c r="L371" s="507">
        <f t="shared" si="94"/>
        <v>7615938</v>
      </c>
      <c r="M371" s="507">
        <f t="shared" si="94"/>
        <v>0</v>
      </c>
      <c r="N371" s="507">
        <f t="shared" si="94"/>
        <v>7615938</v>
      </c>
      <c r="O371" s="508"/>
      <c r="P371" s="508"/>
      <c r="Q371" s="623"/>
      <c r="R371" s="508"/>
      <c r="S371" s="508"/>
      <c r="T371" s="509"/>
    </row>
    <row r="372" spans="1:20" ht="49.5" hidden="1" customHeight="1">
      <c r="A372" s="227" t="s">
        <v>552</v>
      </c>
      <c r="B372" s="452"/>
      <c r="C372" s="442" t="s">
        <v>218</v>
      </c>
      <c r="D372" s="437">
        <v>112</v>
      </c>
      <c r="E372" s="438">
        <v>108288</v>
      </c>
      <c r="F372" s="439" t="s">
        <v>191</v>
      </c>
      <c r="G372" s="442" t="s">
        <v>215</v>
      </c>
      <c r="H372" s="446">
        <v>1</v>
      </c>
      <c r="I372" s="441">
        <f t="shared" ref="I372:I385" si="95">INT(L372*$Q$139)</f>
        <v>0</v>
      </c>
      <c r="J372" s="441">
        <f t="shared" ref="J372:J385" si="96">INT(M372*$R$139)</f>
        <v>0</v>
      </c>
      <c r="K372" s="441">
        <f t="shared" ref="K372:K385" si="97">SUM(I372:J372)</f>
        <v>0</v>
      </c>
      <c r="L372" s="182">
        <v>0</v>
      </c>
      <c r="M372" s="169"/>
      <c r="N372" s="168">
        <f t="shared" ref="N372:N387" si="98">SUM(L372:M372)</f>
        <v>0</v>
      </c>
      <c r="O372" s="405"/>
      <c r="P372" s="405"/>
    </row>
    <row r="373" spans="1:20" ht="49.5" hidden="1" customHeight="1">
      <c r="A373" s="227" t="s">
        <v>553</v>
      </c>
      <c r="B373" s="227"/>
      <c r="C373" s="436" t="s">
        <v>945</v>
      </c>
      <c r="D373" s="437">
        <v>112</v>
      </c>
      <c r="E373" s="438">
        <v>108288</v>
      </c>
      <c r="F373" s="439" t="s">
        <v>191</v>
      </c>
      <c r="G373" s="442" t="s">
        <v>216</v>
      </c>
      <c r="H373" s="439">
        <v>6</v>
      </c>
      <c r="I373" s="441">
        <f t="shared" si="95"/>
        <v>0</v>
      </c>
      <c r="J373" s="441">
        <f t="shared" si="96"/>
        <v>0</v>
      </c>
      <c r="K373" s="441">
        <f t="shared" si="97"/>
        <v>0</v>
      </c>
      <c r="L373" s="182">
        <v>0</v>
      </c>
      <c r="M373" s="169"/>
      <c r="N373" s="168">
        <f t="shared" si="98"/>
        <v>0</v>
      </c>
      <c r="O373" s="405"/>
      <c r="P373" s="405"/>
    </row>
    <row r="374" spans="1:20" ht="33" hidden="1">
      <c r="A374" s="273" t="s">
        <v>554</v>
      </c>
      <c r="B374" s="481" t="s">
        <v>972</v>
      </c>
      <c r="C374" s="482" t="s">
        <v>41</v>
      </c>
      <c r="D374" s="483">
        <v>8100</v>
      </c>
      <c r="E374" s="492">
        <v>108288</v>
      </c>
      <c r="F374" s="524" t="s">
        <v>191</v>
      </c>
      <c r="G374" s="486" t="s">
        <v>217</v>
      </c>
      <c r="H374" s="487">
        <v>1</v>
      </c>
      <c r="I374" s="473">
        <f t="shared" si="95"/>
        <v>656280</v>
      </c>
      <c r="J374" s="473">
        <f t="shared" si="96"/>
        <v>0</v>
      </c>
      <c r="K374" s="473">
        <f t="shared" si="97"/>
        <v>656280</v>
      </c>
      <c r="L374" s="167">
        <v>656280</v>
      </c>
      <c r="M374" s="167"/>
      <c r="N374" s="167">
        <f t="shared" si="98"/>
        <v>656280</v>
      </c>
      <c r="O374" s="405"/>
      <c r="P374" s="405"/>
    </row>
    <row r="375" spans="1:20" ht="83.25" hidden="1">
      <c r="A375" s="273" t="s">
        <v>555</v>
      </c>
      <c r="B375" s="481" t="s">
        <v>555</v>
      </c>
      <c r="C375" s="490" t="s">
        <v>276</v>
      </c>
      <c r="D375" s="483">
        <v>8100</v>
      </c>
      <c r="E375" s="492">
        <v>108288</v>
      </c>
      <c r="F375" s="524" t="s">
        <v>191</v>
      </c>
      <c r="G375" s="486" t="s">
        <v>148</v>
      </c>
      <c r="H375" s="487">
        <v>1</v>
      </c>
      <c r="I375" s="473">
        <f t="shared" si="95"/>
        <v>230000</v>
      </c>
      <c r="J375" s="473">
        <f t="shared" si="96"/>
        <v>0</v>
      </c>
      <c r="K375" s="473">
        <f t="shared" si="97"/>
        <v>230000</v>
      </c>
      <c r="L375" s="167">
        <v>230000</v>
      </c>
      <c r="M375" s="167"/>
      <c r="N375" s="167">
        <f t="shared" si="98"/>
        <v>230000</v>
      </c>
      <c r="O375" s="405"/>
      <c r="P375" s="405"/>
    </row>
    <row r="376" spans="1:20" ht="33" hidden="1">
      <c r="A376" s="273" t="s">
        <v>556</v>
      </c>
      <c r="B376" s="481" t="s">
        <v>973</v>
      </c>
      <c r="C376" s="482" t="s">
        <v>42</v>
      </c>
      <c r="D376" s="483">
        <v>8100</v>
      </c>
      <c r="E376" s="492">
        <v>108288</v>
      </c>
      <c r="F376" s="524" t="s">
        <v>191</v>
      </c>
      <c r="G376" s="486" t="s">
        <v>215</v>
      </c>
      <c r="H376" s="487">
        <v>1</v>
      </c>
      <c r="I376" s="473">
        <f t="shared" si="95"/>
        <v>109841</v>
      </c>
      <c r="J376" s="473">
        <f t="shared" si="96"/>
        <v>0</v>
      </c>
      <c r="K376" s="473">
        <f t="shared" si="97"/>
        <v>109841</v>
      </c>
      <c r="L376" s="167">
        <v>109841</v>
      </c>
      <c r="M376" s="167"/>
      <c r="N376" s="167">
        <f t="shared" si="98"/>
        <v>109841</v>
      </c>
      <c r="O376" s="405"/>
      <c r="P376" s="405"/>
    </row>
    <row r="377" spans="1:20" ht="33" hidden="1">
      <c r="A377" s="273" t="s">
        <v>557</v>
      </c>
      <c r="B377" s="481" t="s">
        <v>1128</v>
      </c>
      <c r="C377" s="482" t="s">
        <v>187</v>
      </c>
      <c r="D377" s="483">
        <v>8100</v>
      </c>
      <c r="E377" s="492">
        <v>108288</v>
      </c>
      <c r="F377" s="524" t="s">
        <v>191</v>
      </c>
      <c r="G377" s="486" t="s">
        <v>216</v>
      </c>
      <c r="H377" s="487">
        <v>1</v>
      </c>
      <c r="I377" s="473">
        <f t="shared" si="95"/>
        <v>120000</v>
      </c>
      <c r="J377" s="473">
        <f t="shared" si="96"/>
        <v>0</v>
      </c>
      <c r="K377" s="473">
        <f t="shared" si="97"/>
        <v>120000</v>
      </c>
      <c r="L377" s="167">
        <v>120000</v>
      </c>
      <c r="M377" s="167"/>
      <c r="N377" s="167">
        <f t="shared" si="98"/>
        <v>120000</v>
      </c>
      <c r="O377" s="405"/>
      <c r="P377" s="405"/>
    </row>
    <row r="378" spans="1:20" ht="55.5" hidden="1">
      <c r="A378" s="273" t="s">
        <v>558</v>
      </c>
      <c r="B378" s="481" t="s">
        <v>1105</v>
      </c>
      <c r="C378" s="490" t="s">
        <v>380</v>
      </c>
      <c r="D378" s="483">
        <v>8100</v>
      </c>
      <c r="E378" s="492">
        <v>108288</v>
      </c>
      <c r="F378" s="524" t="s">
        <v>191</v>
      </c>
      <c r="G378" s="486" t="s">
        <v>148</v>
      </c>
      <c r="H378" s="487">
        <v>1</v>
      </c>
      <c r="I378" s="473">
        <f t="shared" si="95"/>
        <v>475470</v>
      </c>
      <c r="J378" s="473">
        <f t="shared" si="96"/>
        <v>0</v>
      </c>
      <c r="K378" s="473">
        <f t="shared" si="97"/>
        <v>475470</v>
      </c>
      <c r="L378" s="167">
        <v>475470</v>
      </c>
      <c r="M378" s="167"/>
      <c r="N378" s="167">
        <f t="shared" si="98"/>
        <v>475470</v>
      </c>
      <c r="O378" s="405"/>
      <c r="P378" s="405"/>
    </row>
    <row r="379" spans="1:20" ht="33" hidden="1">
      <c r="A379" s="273" t="s">
        <v>559</v>
      </c>
      <c r="B379" s="481" t="s">
        <v>1106</v>
      </c>
      <c r="C379" s="482" t="s">
        <v>381</v>
      </c>
      <c r="D379" s="483">
        <v>8100</v>
      </c>
      <c r="E379" s="492">
        <v>108288</v>
      </c>
      <c r="F379" s="524" t="s">
        <v>191</v>
      </c>
      <c r="G379" s="486" t="s">
        <v>215</v>
      </c>
      <c r="H379" s="487">
        <v>1</v>
      </c>
      <c r="I379" s="473">
        <f t="shared" si="95"/>
        <v>490000</v>
      </c>
      <c r="J379" s="473">
        <f t="shared" si="96"/>
        <v>0</v>
      </c>
      <c r="K379" s="473">
        <f t="shared" si="97"/>
        <v>490000</v>
      </c>
      <c r="L379" s="167">
        <v>490000</v>
      </c>
      <c r="M379" s="167"/>
      <c r="N379" s="167">
        <f t="shared" si="98"/>
        <v>490000</v>
      </c>
      <c r="O379" s="405"/>
      <c r="P379" s="405"/>
    </row>
    <row r="380" spans="1:20" ht="55.5" hidden="1">
      <c r="A380" s="273" t="s">
        <v>561</v>
      </c>
      <c r="B380" s="481" t="s">
        <v>1129</v>
      </c>
      <c r="C380" s="482" t="s">
        <v>442</v>
      </c>
      <c r="D380" s="483">
        <v>8100</v>
      </c>
      <c r="E380" s="492">
        <v>108288</v>
      </c>
      <c r="F380" s="524" t="s">
        <v>191</v>
      </c>
      <c r="G380" s="486" t="s">
        <v>144</v>
      </c>
      <c r="H380" s="487">
        <v>1</v>
      </c>
      <c r="I380" s="473">
        <f t="shared" si="95"/>
        <v>1031821</v>
      </c>
      <c r="J380" s="473">
        <f t="shared" si="96"/>
        <v>0</v>
      </c>
      <c r="K380" s="473">
        <f t="shared" si="97"/>
        <v>1031821</v>
      </c>
      <c r="L380" s="167">
        <f>800000+231821</f>
        <v>1031821</v>
      </c>
      <c r="M380" s="167"/>
      <c r="N380" s="167">
        <f t="shared" si="98"/>
        <v>1031821</v>
      </c>
      <c r="O380" s="405"/>
      <c r="P380" s="405"/>
    </row>
    <row r="381" spans="1:20" ht="83.25" hidden="1">
      <c r="A381" s="273" t="s">
        <v>562</v>
      </c>
      <c r="B381" s="481" t="s">
        <v>974</v>
      </c>
      <c r="C381" s="490" t="s">
        <v>382</v>
      </c>
      <c r="D381" s="483">
        <v>8100</v>
      </c>
      <c r="E381" s="492">
        <v>108288</v>
      </c>
      <c r="F381" s="524" t="s">
        <v>191</v>
      </c>
      <c r="G381" s="486" t="s">
        <v>204</v>
      </c>
      <c r="H381" s="487">
        <v>1</v>
      </c>
      <c r="I381" s="473">
        <f t="shared" si="95"/>
        <v>9790</v>
      </c>
      <c r="J381" s="473">
        <f t="shared" si="96"/>
        <v>0</v>
      </c>
      <c r="K381" s="473">
        <f t="shared" si="97"/>
        <v>9790</v>
      </c>
      <c r="L381" s="167">
        <v>9790</v>
      </c>
      <c r="M381" s="167"/>
      <c r="N381" s="167">
        <f t="shared" si="98"/>
        <v>9790</v>
      </c>
      <c r="O381" s="405"/>
      <c r="P381" s="405"/>
    </row>
    <row r="382" spans="1:20" ht="33" hidden="1">
      <c r="A382" s="273" t="s">
        <v>563</v>
      </c>
      <c r="B382" s="481" t="s">
        <v>1130</v>
      </c>
      <c r="C382" s="482" t="s">
        <v>909</v>
      </c>
      <c r="D382" s="483">
        <v>8100</v>
      </c>
      <c r="E382" s="492">
        <v>108288</v>
      </c>
      <c r="F382" s="524" t="s">
        <v>191</v>
      </c>
      <c r="G382" s="486" t="s">
        <v>148</v>
      </c>
      <c r="H382" s="487">
        <v>1</v>
      </c>
      <c r="I382" s="473">
        <f t="shared" si="95"/>
        <v>242000</v>
      </c>
      <c r="J382" s="473">
        <f t="shared" si="96"/>
        <v>0</v>
      </c>
      <c r="K382" s="473">
        <f t="shared" si="97"/>
        <v>242000</v>
      </c>
      <c r="L382" s="167">
        <v>242000</v>
      </c>
      <c r="M382" s="167"/>
      <c r="N382" s="167">
        <f t="shared" si="98"/>
        <v>242000</v>
      </c>
      <c r="O382" s="405"/>
      <c r="P382" s="405"/>
    </row>
    <row r="383" spans="1:20" ht="33" hidden="1">
      <c r="A383" s="273" t="s">
        <v>564</v>
      </c>
      <c r="B383" s="481" t="s">
        <v>1107</v>
      </c>
      <c r="C383" s="482" t="s">
        <v>443</v>
      </c>
      <c r="D383" s="483">
        <v>8100</v>
      </c>
      <c r="E383" s="492">
        <v>108288</v>
      </c>
      <c r="F383" s="524" t="s">
        <v>191</v>
      </c>
      <c r="G383" s="486" t="s">
        <v>138</v>
      </c>
      <c r="H383" s="487">
        <v>1</v>
      </c>
      <c r="I383" s="473">
        <f t="shared" si="95"/>
        <v>160000</v>
      </c>
      <c r="J383" s="473">
        <f t="shared" si="96"/>
        <v>0</v>
      </c>
      <c r="K383" s="473">
        <f t="shared" si="97"/>
        <v>160000</v>
      </c>
      <c r="L383" s="167">
        <v>160000</v>
      </c>
      <c r="M383" s="167"/>
      <c r="N383" s="167">
        <f t="shared" si="98"/>
        <v>160000</v>
      </c>
      <c r="O383" s="405"/>
      <c r="P383" s="405"/>
    </row>
    <row r="384" spans="1:20" ht="33" hidden="1">
      <c r="A384" s="273" t="s">
        <v>565</v>
      </c>
      <c r="B384" s="481" t="s">
        <v>1108</v>
      </c>
      <c r="C384" s="482" t="s">
        <v>372</v>
      </c>
      <c r="D384" s="483">
        <v>8100</v>
      </c>
      <c r="E384" s="492">
        <v>108288</v>
      </c>
      <c r="F384" s="524" t="s">
        <v>191</v>
      </c>
      <c r="G384" s="486" t="s">
        <v>422</v>
      </c>
      <c r="H384" s="487">
        <v>1</v>
      </c>
      <c r="I384" s="473">
        <f t="shared" si="95"/>
        <v>250736</v>
      </c>
      <c r="J384" s="473">
        <f t="shared" si="96"/>
        <v>0</v>
      </c>
      <c r="K384" s="473">
        <f t="shared" si="97"/>
        <v>250736</v>
      </c>
      <c r="L384" s="167">
        <v>250736</v>
      </c>
      <c r="M384" s="167"/>
      <c r="N384" s="167">
        <f t="shared" si="98"/>
        <v>250736</v>
      </c>
      <c r="O384" s="405"/>
      <c r="P384" s="405"/>
    </row>
    <row r="385" spans="1:20" ht="33" hidden="1">
      <c r="A385" s="273" t="s">
        <v>863</v>
      </c>
      <c r="B385" s="481" t="s">
        <v>863</v>
      </c>
      <c r="C385" s="482" t="s">
        <v>186</v>
      </c>
      <c r="D385" s="483">
        <v>8100</v>
      </c>
      <c r="E385" s="492">
        <v>108288</v>
      </c>
      <c r="F385" s="524" t="s">
        <v>191</v>
      </c>
      <c r="G385" s="486" t="s">
        <v>215</v>
      </c>
      <c r="H385" s="487">
        <v>1</v>
      </c>
      <c r="I385" s="473">
        <f t="shared" si="95"/>
        <v>3200000</v>
      </c>
      <c r="J385" s="473">
        <f t="shared" si="96"/>
        <v>0</v>
      </c>
      <c r="K385" s="473">
        <f t="shared" si="97"/>
        <v>3200000</v>
      </c>
      <c r="L385" s="167">
        <v>3200000</v>
      </c>
      <c r="M385" s="167"/>
      <c r="N385" s="167">
        <f t="shared" si="98"/>
        <v>3200000</v>
      </c>
      <c r="O385" s="405"/>
      <c r="P385" s="405"/>
    </row>
    <row r="386" spans="1:20" ht="33" hidden="1">
      <c r="A386" s="273" t="s">
        <v>864</v>
      </c>
      <c r="B386" s="481" t="s">
        <v>864</v>
      </c>
      <c r="C386" s="482" t="s">
        <v>701</v>
      </c>
      <c r="D386" s="483">
        <v>8100</v>
      </c>
      <c r="E386" s="492">
        <v>108288</v>
      </c>
      <c r="F386" s="524" t="s">
        <v>191</v>
      </c>
      <c r="G386" s="486" t="s">
        <v>79</v>
      </c>
      <c r="H386" s="487">
        <v>1</v>
      </c>
      <c r="I386" s="473">
        <f>INT(L386*$Q$139)</f>
        <v>290000</v>
      </c>
      <c r="J386" s="473">
        <f>INT(M386*$R$139)</f>
        <v>0</v>
      </c>
      <c r="K386" s="473">
        <f>SUM(I386:J386)</f>
        <v>290000</v>
      </c>
      <c r="L386" s="167">
        <v>290000</v>
      </c>
      <c r="M386" s="167"/>
      <c r="N386" s="167">
        <f t="shared" si="98"/>
        <v>290000</v>
      </c>
      <c r="O386" s="405">
        <f>N386/12</f>
        <v>24166.666666666668</v>
      </c>
      <c r="P386" s="405"/>
    </row>
    <row r="387" spans="1:20" ht="33" hidden="1">
      <c r="A387" s="273" t="s">
        <v>865</v>
      </c>
      <c r="B387" s="481" t="s">
        <v>1109</v>
      </c>
      <c r="C387" s="482" t="s">
        <v>815</v>
      </c>
      <c r="D387" s="483">
        <v>8100</v>
      </c>
      <c r="E387" s="492">
        <v>108288</v>
      </c>
      <c r="F387" s="524" t="s">
        <v>191</v>
      </c>
      <c r="G387" s="486" t="s">
        <v>138</v>
      </c>
      <c r="H387" s="487">
        <v>1</v>
      </c>
      <c r="I387" s="473">
        <f>INT(L387*$Q$139)</f>
        <v>350000</v>
      </c>
      <c r="J387" s="473">
        <f>INT(M387*$R$139)</f>
        <v>0</v>
      </c>
      <c r="K387" s="473">
        <f>SUM(I387:J387)</f>
        <v>350000</v>
      </c>
      <c r="L387" s="167">
        <v>350000</v>
      </c>
      <c r="M387" s="167"/>
      <c r="N387" s="167">
        <f t="shared" si="98"/>
        <v>350000</v>
      </c>
      <c r="O387" s="405"/>
      <c r="P387" s="405"/>
    </row>
    <row r="388" spans="1:20" s="510" customFormat="1" ht="68.25" hidden="1" customHeight="1">
      <c r="A388" s="501"/>
      <c r="B388" s="502"/>
      <c r="C388" s="503" t="s">
        <v>278</v>
      </c>
      <c r="D388" s="504"/>
      <c r="E388" s="505"/>
      <c r="F388" s="504"/>
      <c r="G388" s="504"/>
      <c r="H388" s="504"/>
      <c r="I388" s="506">
        <f>SUM(I389:I389)</f>
        <v>120000</v>
      </c>
      <c r="J388" s="506"/>
      <c r="K388" s="506">
        <f>SUM(K389:K389)</f>
        <v>120000</v>
      </c>
      <c r="L388" s="507">
        <f>SUM(L389:L389)</f>
        <v>120000</v>
      </c>
      <c r="M388" s="507"/>
      <c r="N388" s="507">
        <f>SUM(N389:N389)</f>
        <v>120000</v>
      </c>
      <c r="O388" s="508"/>
      <c r="P388" s="508"/>
      <c r="Q388" s="623"/>
      <c r="R388" s="508"/>
      <c r="S388" s="508"/>
      <c r="T388" s="509"/>
    </row>
    <row r="389" spans="1:20" ht="38.25" hidden="1" customHeight="1">
      <c r="A389" s="273" t="s">
        <v>647</v>
      </c>
      <c r="B389" s="481" t="s">
        <v>975</v>
      </c>
      <c r="C389" s="482" t="s">
        <v>139</v>
      </c>
      <c r="D389" s="483">
        <v>8100</v>
      </c>
      <c r="E389" s="484" t="s">
        <v>686</v>
      </c>
      <c r="F389" s="524" t="s">
        <v>191</v>
      </c>
      <c r="G389" s="488" t="s">
        <v>18</v>
      </c>
      <c r="H389" s="489">
        <v>34</v>
      </c>
      <c r="I389" s="473">
        <f>INT(L389*$Q$139)</f>
        <v>120000</v>
      </c>
      <c r="J389" s="473">
        <f>INT(M389*$R$139)</f>
        <v>0</v>
      </c>
      <c r="K389" s="473">
        <f>SUM(I389:J389)</f>
        <v>120000</v>
      </c>
      <c r="L389" s="167">
        <v>120000</v>
      </c>
      <c r="M389" s="167"/>
      <c r="N389" s="167">
        <f>SUM(L389,M389)</f>
        <v>120000</v>
      </c>
      <c r="O389" s="405"/>
      <c r="P389" s="405"/>
    </row>
    <row r="390" spans="1:20" ht="42" hidden="1" customHeight="1">
      <c r="A390" s="146"/>
      <c r="B390" s="138"/>
      <c r="C390" s="139" t="s">
        <v>274</v>
      </c>
      <c r="D390" s="139"/>
      <c r="E390" s="139"/>
      <c r="F390" s="137"/>
      <c r="G390" s="137"/>
      <c r="H390" s="137"/>
      <c r="I390" s="392">
        <f t="shared" ref="I390:N390" si="99">SUM(I391:I393)</f>
        <v>0</v>
      </c>
      <c r="J390" s="392">
        <f t="shared" si="99"/>
        <v>0</v>
      </c>
      <c r="K390" s="392">
        <f t="shared" si="99"/>
        <v>0</v>
      </c>
      <c r="L390" s="392">
        <f t="shared" si="99"/>
        <v>0</v>
      </c>
      <c r="M390" s="392">
        <f t="shared" si="99"/>
        <v>0</v>
      </c>
      <c r="N390" s="392">
        <f t="shared" si="99"/>
        <v>0</v>
      </c>
      <c r="O390" s="194"/>
    </row>
    <row r="391" spans="1:20" ht="50.25" hidden="1" customHeight="1">
      <c r="A391" s="239" t="s">
        <v>843</v>
      </c>
      <c r="B391" s="239"/>
      <c r="C391" s="436" t="s">
        <v>842</v>
      </c>
      <c r="D391" s="437">
        <v>112</v>
      </c>
      <c r="E391" s="438" t="s">
        <v>795</v>
      </c>
      <c r="F391" s="439" t="s">
        <v>191</v>
      </c>
      <c r="G391" s="442" t="s">
        <v>142</v>
      </c>
      <c r="H391" s="446">
        <v>1</v>
      </c>
      <c r="I391" s="441">
        <f>INT(L391*$Q$139)</f>
        <v>0</v>
      </c>
      <c r="J391" s="441">
        <f>INT(M391*$R$139)</f>
        <v>0</v>
      </c>
      <c r="K391" s="441">
        <f>SUM(I391:J391)</f>
        <v>0</v>
      </c>
      <c r="L391" s="447"/>
      <c r="M391" s="168"/>
      <c r="N391" s="168">
        <f>SUM(L391,M391)</f>
        <v>0</v>
      </c>
      <c r="O391" s="405"/>
      <c r="P391" s="405"/>
    </row>
    <row r="392" spans="1:20" ht="57" hidden="1" customHeight="1">
      <c r="A392" s="239" t="s">
        <v>845</v>
      </c>
      <c r="B392" s="239"/>
      <c r="C392" s="442" t="s">
        <v>844</v>
      </c>
      <c r="D392" s="437">
        <v>112</v>
      </c>
      <c r="E392" s="438" t="s">
        <v>795</v>
      </c>
      <c r="F392" s="439" t="s">
        <v>191</v>
      </c>
      <c r="G392" s="442" t="s">
        <v>142</v>
      </c>
      <c r="H392" s="446">
        <v>1</v>
      </c>
      <c r="I392" s="441">
        <f>INT(L392*$Q$139)</f>
        <v>0</v>
      </c>
      <c r="J392" s="441">
        <f>INT(M392*$R$139)</f>
        <v>0</v>
      </c>
      <c r="K392" s="441">
        <f>SUM(I392:J392)</f>
        <v>0</v>
      </c>
      <c r="L392" s="447"/>
      <c r="M392" s="168"/>
      <c r="N392" s="168">
        <f>SUM(L392:M392)</f>
        <v>0</v>
      </c>
      <c r="O392" s="405"/>
      <c r="P392" s="405"/>
    </row>
    <row r="393" spans="1:20" ht="57" hidden="1" customHeight="1">
      <c r="A393" s="239" t="s">
        <v>846</v>
      </c>
      <c r="B393" s="239"/>
      <c r="C393" s="442" t="s">
        <v>384</v>
      </c>
      <c r="D393" s="437">
        <v>112</v>
      </c>
      <c r="E393" s="438" t="s">
        <v>795</v>
      </c>
      <c r="F393" s="439" t="s">
        <v>191</v>
      </c>
      <c r="G393" s="442" t="s">
        <v>142</v>
      </c>
      <c r="H393" s="446">
        <v>1</v>
      </c>
      <c r="I393" s="441">
        <f>INT(L393*$Q$139)</f>
        <v>0</v>
      </c>
      <c r="J393" s="441">
        <f>INT(M393*$R$139)</f>
        <v>0</v>
      </c>
      <c r="K393" s="441">
        <f>SUM(I393:J393)</f>
        <v>0</v>
      </c>
      <c r="L393" s="447"/>
      <c r="M393" s="168"/>
      <c r="N393" s="168">
        <f>SUM(L393:M393)</f>
        <v>0</v>
      </c>
      <c r="O393" s="405"/>
      <c r="P393" s="405"/>
    </row>
    <row r="394" spans="1:20" s="510" customFormat="1" ht="50.1" hidden="1" customHeight="1">
      <c r="A394" s="501"/>
      <c r="B394" s="502"/>
      <c r="C394" s="503" t="s">
        <v>280</v>
      </c>
      <c r="D394" s="504"/>
      <c r="E394" s="505"/>
      <c r="F394" s="504"/>
      <c r="G394" s="504"/>
      <c r="H394" s="504"/>
      <c r="I394" s="506">
        <f t="shared" ref="I394:N394" si="100">SUM(I395:I396)</f>
        <v>362630</v>
      </c>
      <c r="J394" s="506">
        <f t="shared" si="100"/>
        <v>0</v>
      </c>
      <c r="K394" s="506">
        <f t="shared" si="100"/>
        <v>362630</v>
      </c>
      <c r="L394" s="507">
        <f t="shared" si="100"/>
        <v>362630</v>
      </c>
      <c r="M394" s="507">
        <f t="shared" si="100"/>
        <v>0</v>
      </c>
      <c r="N394" s="507">
        <f t="shared" si="100"/>
        <v>362630</v>
      </c>
      <c r="O394" s="508"/>
      <c r="P394" s="508"/>
      <c r="Q394" s="623"/>
      <c r="R394" s="508"/>
      <c r="S394" s="508"/>
      <c r="T394" s="509"/>
    </row>
    <row r="395" spans="1:20" ht="55.5" hidden="1">
      <c r="A395" s="273" t="s">
        <v>626</v>
      </c>
      <c r="B395" s="481" t="s">
        <v>977</v>
      </c>
      <c r="C395" s="490" t="s">
        <v>445</v>
      </c>
      <c r="D395" s="483">
        <v>8100</v>
      </c>
      <c r="E395" s="492">
        <v>108288</v>
      </c>
      <c r="F395" s="524" t="s">
        <v>191</v>
      </c>
      <c r="G395" s="486" t="s">
        <v>144</v>
      </c>
      <c r="H395" s="487">
        <v>1</v>
      </c>
      <c r="I395" s="473">
        <f>INT(L395*$Q$139)</f>
        <v>332630</v>
      </c>
      <c r="J395" s="473">
        <f>INT(M395*$R$139)</f>
        <v>0</v>
      </c>
      <c r="K395" s="473">
        <f>SUM(I395:J395)</f>
        <v>332630</v>
      </c>
      <c r="L395" s="167">
        <v>332630</v>
      </c>
      <c r="M395" s="167"/>
      <c r="N395" s="167">
        <f>SUM(L395:M395)</f>
        <v>332630</v>
      </c>
      <c r="O395" s="405"/>
      <c r="P395" s="405"/>
    </row>
    <row r="396" spans="1:20" ht="55.5" hidden="1">
      <c r="A396" s="273" t="s">
        <v>841</v>
      </c>
      <c r="B396" s="481" t="s">
        <v>978</v>
      </c>
      <c r="C396" s="490" t="s">
        <v>816</v>
      </c>
      <c r="D396" s="483">
        <v>8100</v>
      </c>
      <c r="E396" s="492">
        <v>108288</v>
      </c>
      <c r="F396" s="524" t="s">
        <v>191</v>
      </c>
      <c r="G396" s="486" t="s">
        <v>144</v>
      </c>
      <c r="H396" s="487">
        <v>1</v>
      </c>
      <c r="I396" s="473">
        <f>INT(L396*$Q$139)</f>
        <v>30000</v>
      </c>
      <c r="J396" s="473">
        <f>INT(M396*$R$139)</f>
        <v>0</v>
      </c>
      <c r="K396" s="473">
        <f>SUM(I396:J396)</f>
        <v>30000</v>
      </c>
      <c r="L396" s="167">
        <v>30000</v>
      </c>
      <c r="M396" s="167"/>
      <c r="N396" s="167">
        <f>SUM(L396:M396)</f>
        <v>30000</v>
      </c>
      <c r="O396" s="405"/>
      <c r="P396" s="405"/>
    </row>
    <row r="397" spans="1:20" s="510" customFormat="1" ht="72" hidden="1" customHeight="1">
      <c r="A397" s="501"/>
      <c r="B397" s="502"/>
      <c r="C397" s="503" t="s">
        <v>714</v>
      </c>
      <c r="D397" s="504"/>
      <c r="E397" s="505"/>
      <c r="F397" s="504"/>
      <c r="G397" s="504"/>
      <c r="H397" s="504"/>
      <c r="I397" s="506">
        <f t="shared" ref="I397:N397" si="101">SUM(I398:I399)</f>
        <v>132055</v>
      </c>
      <c r="J397" s="506">
        <f t="shared" si="101"/>
        <v>0</v>
      </c>
      <c r="K397" s="506">
        <f t="shared" si="101"/>
        <v>132055</v>
      </c>
      <c r="L397" s="507">
        <f t="shared" si="101"/>
        <v>132055</v>
      </c>
      <c r="M397" s="507">
        <f t="shared" si="101"/>
        <v>0</v>
      </c>
      <c r="N397" s="507">
        <f t="shared" si="101"/>
        <v>132055</v>
      </c>
      <c r="O397" s="508"/>
      <c r="P397" s="508"/>
      <c r="Q397" s="623"/>
      <c r="R397" s="508"/>
      <c r="S397" s="508"/>
      <c r="T397" s="509"/>
    </row>
    <row r="398" spans="1:20" ht="83.25" hidden="1">
      <c r="A398" s="273" t="s">
        <v>640</v>
      </c>
      <c r="B398" s="481" t="s">
        <v>1091</v>
      </c>
      <c r="C398" s="490" t="s">
        <v>423</v>
      </c>
      <c r="D398" s="484" t="s">
        <v>1321</v>
      </c>
      <c r="E398" s="492">
        <v>138151</v>
      </c>
      <c r="F398" s="524" t="s">
        <v>191</v>
      </c>
      <c r="G398" s="486" t="s">
        <v>421</v>
      </c>
      <c r="H398" s="487">
        <v>1</v>
      </c>
      <c r="I398" s="473">
        <f>INT(L398*$Q$139)</f>
        <v>40000</v>
      </c>
      <c r="J398" s="473">
        <f>INT(M398*$R$139)</f>
        <v>0</v>
      </c>
      <c r="K398" s="473">
        <f>SUM(I398:J398)</f>
        <v>40000</v>
      </c>
      <c r="L398" s="167">
        <v>40000</v>
      </c>
      <c r="M398" s="167"/>
      <c r="N398" s="167">
        <f>SUM(L398:M398)</f>
        <v>40000</v>
      </c>
      <c r="O398" s="405"/>
      <c r="P398" s="405"/>
    </row>
    <row r="399" spans="1:20" ht="33" hidden="1">
      <c r="A399" s="273" t="s">
        <v>746</v>
      </c>
      <c r="B399" s="481" t="s">
        <v>1092</v>
      </c>
      <c r="C399" s="490" t="s">
        <v>713</v>
      </c>
      <c r="D399" s="484" t="s">
        <v>1321</v>
      </c>
      <c r="E399" s="492">
        <v>138151</v>
      </c>
      <c r="F399" s="524" t="s">
        <v>191</v>
      </c>
      <c r="G399" s="486" t="s">
        <v>421</v>
      </c>
      <c r="H399" s="487">
        <v>1</v>
      </c>
      <c r="I399" s="473">
        <f>INT(L399*$Q$139)</f>
        <v>92055</v>
      </c>
      <c r="J399" s="473">
        <f>INT(M399*$R$139)</f>
        <v>0</v>
      </c>
      <c r="K399" s="473">
        <f>SUM(I399:J399)</f>
        <v>92055</v>
      </c>
      <c r="L399" s="167">
        <v>92055</v>
      </c>
      <c r="M399" s="167"/>
      <c r="N399" s="167">
        <f>SUM(L399:M399)</f>
        <v>92055</v>
      </c>
      <c r="O399" s="405"/>
      <c r="P399" s="405"/>
    </row>
    <row r="400" spans="1:20" ht="24.95" hidden="1" customHeight="1">
      <c r="A400" s="23"/>
      <c r="B400" s="244"/>
      <c r="C400" s="245"/>
      <c r="D400" s="245"/>
      <c r="E400" s="245"/>
      <c r="F400" s="246"/>
      <c r="G400" s="244"/>
      <c r="H400" s="20"/>
      <c r="I400" s="364"/>
      <c r="J400" s="364"/>
      <c r="K400" s="364"/>
      <c r="L400" s="20"/>
      <c r="M400" s="20"/>
      <c r="N400" s="20"/>
    </row>
    <row r="401" spans="1:20" s="472" customFormat="1" ht="45" hidden="1" customHeight="1">
      <c r="A401" s="478" t="s">
        <v>200</v>
      </c>
      <c r="B401" s="1263" t="s">
        <v>200</v>
      </c>
      <c r="C401" s="1264"/>
      <c r="D401" s="1264"/>
      <c r="E401" s="1264"/>
      <c r="F401" s="1264"/>
      <c r="G401" s="1264"/>
      <c r="H401" s="1265"/>
      <c r="I401" s="479">
        <f>SUM(I371,I388,I390,I394,I397)</f>
        <v>8230623</v>
      </c>
      <c r="J401" s="479">
        <f>SUM(J371,J388,J390,J394,J397)</f>
        <v>0</v>
      </c>
      <c r="K401" s="479">
        <f>I401+J401</f>
        <v>8230623</v>
      </c>
      <c r="L401" s="480">
        <f>SUM(L371,L388,L390,L394,L397)</f>
        <v>8230623</v>
      </c>
      <c r="M401" s="480">
        <f>SUM(M371,M388,M390,M394,M397)</f>
        <v>0</v>
      </c>
      <c r="N401" s="480">
        <f>L401+M401</f>
        <v>8230623</v>
      </c>
      <c r="O401" s="470"/>
      <c r="P401" s="470"/>
      <c r="Q401" s="622"/>
      <c r="R401" s="470"/>
      <c r="S401" s="470"/>
      <c r="T401" s="471"/>
    </row>
    <row r="402" spans="1:20" ht="72" hidden="1" customHeight="1">
      <c r="A402" s="25"/>
      <c r="B402" s="1287" t="s">
        <v>1283</v>
      </c>
      <c r="C402" s="1287"/>
      <c r="D402" s="1287"/>
      <c r="E402" s="1287"/>
      <c r="F402" s="1287"/>
      <c r="G402" s="1287"/>
      <c r="H402" s="1287"/>
      <c r="I402" s="1287"/>
      <c r="J402" s="1287"/>
      <c r="K402" s="1287"/>
      <c r="L402" s="338"/>
      <c r="M402" s="338"/>
      <c r="N402" s="338"/>
    </row>
    <row r="403" spans="1:20" ht="20.100000000000001" hidden="1" customHeight="1">
      <c r="A403" s="65"/>
      <c r="B403" s="65"/>
      <c r="C403" s="10"/>
      <c r="D403" s="10"/>
      <c r="E403" s="10"/>
      <c r="F403" s="65"/>
      <c r="G403" s="10"/>
      <c r="H403" s="68"/>
      <c r="I403" s="68"/>
      <c r="J403" s="68"/>
      <c r="K403" s="68"/>
      <c r="L403" s="10"/>
      <c r="M403" s="65"/>
      <c r="N403" s="10"/>
    </row>
    <row r="404" spans="1:20" ht="30" hidden="1" customHeight="1" thickBot="1">
      <c r="A404" s="59"/>
      <c r="B404" s="59"/>
      <c r="C404" s="73"/>
      <c r="D404" s="73"/>
      <c r="E404" s="73"/>
      <c r="F404" s="70"/>
      <c r="G404" s="70"/>
      <c r="H404" s="70"/>
      <c r="I404" s="70"/>
      <c r="J404" s="70"/>
      <c r="K404" s="70"/>
      <c r="L404" s="73"/>
      <c r="M404" s="73"/>
      <c r="N404" s="73"/>
    </row>
    <row r="405" spans="1:20" ht="29.25" hidden="1" customHeight="1">
      <c r="A405" s="59"/>
      <c r="B405" s="59"/>
      <c r="C405" s="1204" t="s">
        <v>51</v>
      </c>
      <c r="D405" s="1204"/>
      <c r="E405" s="1204"/>
      <c r="F405" s="1204"/>
      <c r="G405" s="10"/>
      <c r="H405" s="1243" t="s">
        <v>11</v>
      </c>
      <c r="I405" s="1244"/>
      <c r="J405" s="1244"/>
      <c r="K405" s="1245"/>
      <c r="L405" s="337"/>
      <c r="M405" s="337"/>
      <c r="N405" s="337"/>
    </row>
    <row r="406" spans="1:20" ht="29.25" hidden="1" customHeight="1">
      <c r="A406" s="59"/>
      <c r="B406" s="59"/>
      <c r="C406" s="1204" t="s">
        <v>52</v>
      </c>
      <c r="D406" s="1204"/>
      <c r="E406" s="1204"/>
      <c r="F406" s="1204"/>
      <c r="G406" s="10"/>
      <c r="H406" s="1208" t="s">
        <v>98</v>
      </c>
      <c r="I406" s="1209"/>
      <c r="J406" s="1209"/>
      <c r="K406" s="1210"/>
      <c r="L406" s="336"/>
      <c r="M406" s="336"/>
      <c r="N406" s="336"/>
    </row>
    <row r="407" spans="1:20" ht="29.25" hidden="1" customHeight="1">
      <c r="A407" s="10"/>
      <c r="B407" s="10"/>
      <c r="C407" s="1204" t="s">
        <v>50</v>
      </c>
      <c r="D407" s="1204"/>
      <c r="E407" s="1204"/>
      <c r="F407" s="1204"/>
      <c r="G407" s="10"/>
      <c r="H407" s="1211"/>
      <c r="I407" s="1212"/>
      <c r="J407" s="1212"/>
      <c r="K407" s="1213"/>
      <c r="L407" s="336"/>
      <c r="M407" s="336"/>
      <c r="N407" s="336"/>
    </row>
    <row r="408" spans="1:20" ht="24.95" hidden="1" customHeight="1">
      <c r="A408" s="10"/>
      <c r="B408" s="10"/>
      <c r="C408" s="10"/>
      <c r="D408" s="10"/>
      <c r="E408" s="10"/>
      <c r="F408" s="10"/>
      <c r="G408" s="10"/>
      <c r="H408" s="1211" t="s">
        <v>22</v>
      </c>
      <c r="I408" s="1212"/>
      <c r="J408" s="1212"/>
      <c r="K408" s="477">
        <f>K449</f>
        <v>67053789</v>
      </c>
      <c r="L408" s="336"/>
      <c r="M408" s="336"/>
      <c r="N408" s="86"/>
    </row>
    <row r="409" spans="1:20" ht="51" hidden="1" customHeight="1" thickBot="1">
      <c r="A409" s="10"/>
      <c r="B409" s="10"/>
      <c r="C409" s="10"/>
      <c r="D409" s="10"/>
      <c r="E409" s="10"/>
      <c r="F409" s="10"/>
      <c r="G409" s="10"/>
      <c r="H409" s="1283" t="s">
        <v>13</v>
      </c>
      <c r="I409" s="1284"/>
      <c r="J409" s="1284"/>
      <c r="K409" s="1285"/>
      <c r="L409" s="336"/>
      <c r="M409" s="336"/>
      <c r="N409" s="336"/>
    </row>
    <row r="410" spans="1:20" ht="17.100000000000001" hidden="1" customHeight="1">
      <c r="A410" s="10"/>
      <c r="B410" s="10"/>
      <c r="C410" s="10"/>
      <c r="D410" s="10"/>
      <c r="E410" s="10"/>
      <c r="F410" s="10"/>
      <c r="G410" s="10"/>
      <c r="H410" s="20"/>
      <c r="I410" s="20"/>
      <c r="J410" s="20"/>
      <c r="K410" s="20"/>
      <c r="L410" s="20"/>
      <c r="M410" s="20"/>
      <c r="N410" s="20"/>
    </row>
    <row r="411" spans="1:20" ht="20.100000000000001" hidden="1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</row>
    <row r="412" spans="1:20" ht="44.25" hidden="1" customHeight="1">
      <c r="A412" s="346" t="s">
        <v>1057</v>
      </c>
      <c r="B412" s="1226" t="s">
        <v>1058</v>
      </c>
      <c r="C412" s="1226"/>
      <c r="D412" s="1226"/>
      <c r="E412" s="1226"/>
      <c r="F412" s="1226"/>
      <c r="G412" s="1226"/>
      <c r="H412" s="1226"/>
      <c r="I412" s="1226"/>
      <c r="J412" s="1226"/>
      <c r="K412" s="1226"/>
      <c r="L412" s="346"/>
      <c r="M412" s="346"/>
      <c r="N412" s="346"/>
      <c r="O412" s="27"/>
      <c r="P412" s="27"/>
      <c r="Q412" s="620"/>
      <c r="R412" s="27"/>
      <c r="S412" s="27"/>
      <c r="T412" s="27"/>
    </row>
    <row r="413" spans="1:20" ht="20.100000000000001" hidden="1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86"/>
      <c r="M413" s="86"/>
      <c r="N413" s="46"/>
      <c r="O413" s="28">
        <f>N413+L413</f>
        <v>0</v>
      </c>
    </row>
    <row r="414" spans="1:20" s="500" customFormat="1" ht="90" hidden="1">
      <c r="A414" s="496" t="s">
        <v>14</v>
      </c>
      <c r="B414" s="497" t="s">
        <v>14</v>
      </c>
      <c r="C414" s="497" t="s">
        <v>37</v>
      </c>
      <c r="D414" s="497" t="s">
        <v>440</v>
      </c>
      <c r="E414" s="497" t="s">
        <v>16</v>
      </c>
      <c r="F414" s="497" t="s">
        <v>185</v>
      </c>
      <c r="G414" s="497" t="s">
        <v>178</v>
      </c>
      <c r="H414" s="497" t="s">
        <v>179</v>
      </c>
      <c r="I414" s="497" t="s">
        <v>180</v>
      </c>
      <c r="J414" s="497" t="s">
        <v>181</v>
      </c>
      <c r="K414" s="497" t="s">
        <v>200</v>
      </c>
      <c r="L414" s="496" t="s">
        <v>180</v>
      </c>
      <c r="M414" s="496" t="s">
        <v>181</v>
      </c>
      <c r="N414" s="496" t="s">
        <v>200</v>
      </c>
      <c r="O414" s="498"/>
      <c r="P414" s="498"/>
      <c r="Q414" s="622"/>
      <c r="R414" s="498"/>
      <c r="S414" s="498"/>
      <c r="T414" s="499"/>
    </row>
    <row r="415" spans="1:20" s="510" customFormat="1" ht="72" hidden="1" customHeight="1">
      <c r="A415" s="501"/>
      <c r="B415" s="502"/>
      <c r="C415" s="503" t="s">
        <v>273</v>
      </c>
      <c r="D415" s="504"/>
      <c r="E415" s="505"/>
      <c r="F415" s="504"/>
      <c r="G415" s="504"/>
      <c r="H415" s="504"/>
      <c r="I415" s="506">
        <f>L415</f>
        <v>38103558</v>
      </c>
      <c r="J415" s="506">
        <f>M415</f>
        <v>0</v>
      </c>
      <c r="K415" s="506">
        <f>I415+J415</f>
        <v>38103558</v>
      </c>
      <c r="L415" s="507">
        <f>SUM(L416:L435)</f>
        <v>38103558</v>
      </c>
      <c r="M415" s="507">
        <f>SUM(M416:M448)</f>
        <v>0</v>
      </c>
      <c r="N415" s="507">
        <f>L415+M415</f>
        <v>38103558</v>
      </c>
      <c r="O415" s="508"/>
      <c r="P415" s="508"/>
      <c r="Q415" s="623"/>
      <c r="R415" s="508"/>
      <c r="S415" s="508"/>
      <c r="T415" s="509"/>
    </row>
    <row r="416" spans="1:20" ht="38.25" hidden="1" customHeight="1">
      <c r="A416" s="273" t="s">
        <v>553</v>
      </c>
      <c r="B416" s="481" t="s">
        <v>980</v>
      </c>
      <c r="C416" s="482" t="s">
        <v>275</v>
      </c>
      <c r="D416" s="483">
        <v>8100</v>
      </c>
      <c r="E416" s="484" t="s">
        <v>776</v>
      </c>
      <c r="F416" s="524" t="s">
        <v>152</v>
      </c>
      <c r="G416" s="488" t="s">
        <v>216</v>
      </c>
      <c r="H416" s="489">
        <v>6</v>
      </c>
      <c r="I416" s="473">
        <f t="shared" ref="I416:I435" si="102">INT(L416*$Q$139)</f>
        <v>643200</v>
      </c>
      <c r="J416" s="473">
        <f t="shared" ref="J416:J435" si="103">INT(M416*$R$139)</f>
        <v>0</v>
      </c>
      <c r="K416" s="473">
        <f t="shared" ref="K416:K435" si="104">SUM(I416:J416)</f>
        <v>643200</v>
      </c>
      <c r="L416" s="167">
        <v>643200</v>
      </c>
      <c r="M416" s="167"/>
      <c r="N416" s="167">
        <f t="shared" ref="N416:N422" si="105">SUM(L416:M416)</f>
        <v>643200</v>
      </c>
      <c r="O416" s="405"/>
      <c r="P416" s="405"/>
    </row>
    <row r="417" spans="1:16" ht="55.5" hidden="1">
      <c r="A417" s="273" t="s">
        <v>566</v>
      </c>
      <c r="B417" s="481" t="s">
        <v>1093</v>
      </c>
      <c r="C417" s="490" t="s">
        <v>281</v>
      </c>
      <c r="D417" s="483">
        <v>8100</v>
      </c>
      <c r="E417" s="484" t="s">
        <v>776</v>
      </c>
      <c r="F417" s="524" t="s">
        <v>152</v>
      </c>
      <c r="G417" s="486" t="s">
        <v>219</v>
      </c>
      <c r="H417" s="487">
        <v>0.2</v>
      </c>
      <c r="I417" s="473">
        <f t="shared" si="102"/>
        <v>78000</v>
      </c>
      <c r="J417" s="473">
        <f t="shared" si="103"/>
        <v>0</v>
      </c>
      <c r="K417" s="473">
        <f t="shared" si="104"/>
        <v>78000</v>
      </c>
      <c r="L417" s="167">
        <v>78000</v>
      </c>
      <c r="M417" s="167"/>
      <c r="N417" s="167">
        <f t="shared" si="105"/>
        <v>78000</v>
      </c>
      <c r="O417" s="405"/>
      <c r="P417" s="405"/>
    </row>
    <row r="418" spans="1:16" ht="55.5" hidden="1">
      <c r="A418" s="273" t="s">
        <v>931</v>
      </c>
      <c r="B418" s="481" t="s">
        <v>1304</v>
      </c>
      <c r="C418" s="490" t="s">
        <v>282</v>
      </c>
      <c r="D418" s="483">
        <v>8100</v>
      </c>
      <c r="E418" s="484" t="s">
        <v>776</v>
      </c>
      <c r="F418" s="524" t="s">
        <v>152</v>
      </c>
      <c r="G418" s="486" t="s">
        <v>203</v>
      </c>
      <c r="H418" s="487">
        <v>1</v>
      </c>
      <c r="I418" s="473">
        <f t="shared" si="102"/>
        <v>300000</v>
      </c>
      <c r="J418" s="473">
        <f t="shared" si="103"/>
        <v>0</v>
      </c>
      <c r="K418" s="473">
        <f t="shared" si="104"/>
        <v>300000</v>
      </c>
      <c r="L418" s="167">
        <v>300000</v>
      </c>
      <c r="M418" s="167"/>
      <c r="N418" s="167">
        <f t="shared" si="105"/>
        <v>300000</v>
      </c>
      <c r="O418" s="405"/>
      <c r="P418" s="405"/>
    </row>
    <row r="419" spans="1:16" ht="38.25" hidden="1" customHeight="1">
      <c r="A419" s="273" t="s">
        <v>925</v>
      </c>
      <c r="B419" s="481" t="s">
        <v>1300</v>
      </c>
      <c r="C419" s="482" t="s">
        <v>462</v>
      </c>
      <c r="D419" s="483">
        <v>8100</v>
      </c>
      <c r="E419" s="484" t="s">
        <v>776</v>
      </c>
      <c r="F419" s="524" t="s">
        <v>152</v>
      </c>
      <c r="G419" s="488" t="s">
        <v>222</v>
      </c>
      <c r="H419" s="489">
        <v>30</v>
      </c>
      <c r="I419" s="473">
        <f t="shared" si="102"/>
        <v>2400000</v>
      </c>
      <c r="J419" s="473">
        <f t="shared" si="103"/>
        <v>0</v>
      </c>
      <c r="K419" s="473">
        <f t="shared" si="104"/>
        <v>2400000</v>
      </c>
      <c r="L419" s="167">
        <v>2400000</v>
      </c>
      <c r="M419" s="167"/>
      <c r="N419" s="167">
        <f t="shared" si="105"/>
        <v>2400000</v>
      </c>
      <c r="O419" s="405"/>
      <c r="P419" s="405"/>
    </row>
    <row r="420" spans="1:16" ht="55.5" hidden="1">
      <c r="A420" s="273" t="s">
        <v>928</v>
      </c>
      <c r="B420" s="481" t="s">
        <v>1301</v>
      </c>
      <c r="C420" s="490" t="s">
        <v>285</v>
      </c>
      <c r="D420" s="483">
        <v>8100</v>
      </c>
      <c r="E420" s="484" t="s">
        <v>776</v>
      </c>
      <c r="F420" s="524" t="s">
        <v>152</v>
      </c>
      <c r="G420" s="486" t="s">
        <v>203</v>
      </c>
      <c r="H420" s="487">
        <v>1</v>
      </c>
      <c r="I420" s="473">
        <f t="shared" si="102"/>
        <v>1000000</v>
      </c>
      <c r="J420" s="473">
        <f t="shared" si="103"/>
        <v>0</v>
      </c>
      <c r="K420" s="473">
        <f t="shared" si="104"/>
        <v>1000000</v>
      </c>
      <c r="L420" s="167">
        <v>1000000</v>
      </c>
      <c r="M420" s="167"/>
      <c r="N420" s="167">
        <f t="shared" si="105"/>
        <v>1000000</v>
      </c>
      <c r="O420" s="405"/>
      <c r="P420" s="405"/>
    </row>
    <row r="421" spans="1:16" ht="33" hidden="1">
      <c r="A421" s="273" t="s">
        <v>929</v>
      </c>
      <c r="B421" s="481" t="s">
        <v>1302</v>
      </c>
      <c r="C421" s="490" t="s">
        <v>284</v>
      </c>
      <c r="D421" s="483">
        <v>8100</v>
      </c>
      <c r="E421" s="484" t="s">
        <v>776</v>
      </c>
      <c r="F421" s="524" t="s">
        <v>152</v>
      </c>
      <c r="G421" s="486" t="s">
        <v>203</v>
      </c>
      <c r="H421" s="487">
        <v>1</v>
      </c>
      <c r="I421" s="473">
        <f t="shared" si="102"/>
        <v>1000000</v>
      </c>
      <c r="J421" s="473">
        <f t="shared" si="103"/>
        <v>0</v>
      </c>
      <c r="K421" s="473">
        <f t="shared" si="104"/>
        <v>1000000</v>
      </c>
      <c r="L421" s="167">
        <v>1000000</v>
      </c>
      <c r="M421" s="167"/>
      <c r="N421" s="167">
        <f t="shared" si="105"/>
        <v>1000000</v>
      </c>
      <c r="O421" s="405"/>
      <c r="P421" s="405"/>
    </row>
    <row r="422" spans="1:16" ht="55.5" hidden="1">
      <c r="A422" s="273" t="s">
        <v>930</v>
      </c>
      <c r="B422" s="481" t="s">
        <v>1303</v>
      </c>
      <c r="C422" s="490" t="s">
        <v>283</v>
      </c>
      <c r="D422" s="483">
        <v>8100</v>
      </c>
      <c r="E422" s="484" t="s">
        <v>776</v>
      </c>
      <c r="F422" s="524" t="s">
        <v>152</v>
      </c>
      <c r="G422" s="486" t="s">
        <v>203</v>
      </c>
      <c r="H422" s="487">
        <v>1</v>
      </c>
      <c r="I422" s="473">
        <f t="shared" si="102"/>
        <v>1100000</v>
      </c>
      <c r="J422" s="473">
        <f t="shared" si="103"/>
        <v>0</v>
      </c>
      <c r="K422" s="473">
        <f t="shared" si="104"/>
        <v>1100000</v>
      </c>
      <c r="L422" s="167">
        <v>1100000</v>
      </c>
      <c r="M422" s="167"/>
      <c r="N422" s="167">
        <f t="shared" si="105"/>
        <v>1100000</v>
      </c>
      <c r="O422" s="405"/>
      <c r="P422" s="405"/>
    </row>
    <row r="423" spans="1:16" ht="55.5" hidden="1">
      <c r="A423" s="273" t="s">
        <v>754</v>
      </c>
      <c r="B423" s="481" t="s">
        <v>1297</v>
      </c>
      <c r="C423" s="490" t="s">
        <v>286</v>
      </c>
      <c r="D423" s="483">
        <v>8100</v>
      </c>
      <c r="E423" s="484" t="s">
        <v>776</v>
      </c>
      <c r="F423" s="524" t="s">
        <v>152</v>
      </c>
      <c r="G423" s="486" t="s">
        <v>221</v>
      </c>
      <c r="H423" s="487">
        <v>1</v>
      </c>
      <c r="I423" s="473">
        <f t="shared" si="102"/>
        <v>250000</v>
      </c>
      <c r="J423" s="473">
        <f t="shared" si="103"/>
        <v>0</v>
      </c>
      <c r="K423" s="473">
        <f t="shared" si="104"/>
        <v>250000</v>
      </c>
      <c r="L423" s="167">
        <v>250000</v>
      </c>
      <c r="M423" s="167"/>
      <c r="N423" s="167">
        <f>SUM(L423,M423)</f>
        <v>250000</v>
      </c>
      <c r="O423" s="405"/>
      <c r="P423" s="405"/>
    </row>
    <row r="424" spans="1:16" ht="33" hidden="1">
      <c r="A424" s="273" t="s">
        <v>567</v>
      </c>
      <c r="B424" s="481" t="s">
        <v>979</v>
      </c>
      <c r="C424" s="490" t="s">
        <v>287</v>
      </c>
      <c r="D424" s="483">
        <v>8100</v>
      </c>
      <c r="E424" s="484" t="s">
        <v>776</v>
      </c>
      <c r="F424" s="524" t="s">
        <v>152</v>
      </c>
      <c r="G424" s="486" t="s">
        <v>203</v>
      </c>
      <c r="H424" s="487">
        <v>1</v>
      </c>
      <c r="I424" s="473">
        <f t="shared" si="102"/>
        <v>750000</v>
      </c>
      <c r="J424" s="473">
        <f t="shared" si="103"/>
        <v>0</v>
      </c>
      <c r="K424" s="473">
        <f t="shared" si="104"/>
        <v>750000</v>
      </c>
      <c r="L424" s="167">
        <v>750000</v>
      </c>
      <c r="M424" s="167"/>
      <c r="N424" s="167">
        <f t="shared" ref="N424:N429" si="106">SUM(L424:M424)</f>
        <v>750000</v>
      </c>
      <c r="O424" s="405"/>
      <c r="P424" s="405"/>
    </row>
    <row r="425" spans="1:16" ht="55.5" hidden="1">
      <c r="A425" s="273" t="s">
        <v>927</v>
      </c>
      <c r="B425" s="481" t="s">
        <v>1298</v>
      </c>
      <c r="C425" s="490" t="s">
        <v>518</v>
      </c>
      <c r="D425" s="483">
        <v>8100</v>
      </c>
      <c r="E425" s="484" t="s">
        <v>776</v>
      </c>
      <c r="F425" s="524" t="s">
        <v>152</v>
      </c>
      <c r="G425" s="486" t="s">
        <v>220</v>
      </c>
      <c r="H425" s="487">
        <v>0.2</v>
      </c>
      <c r="I425" s="473">
        <f t="shared" si="102"/>
        <v>760000</v>
      </c>
      <c r="J425" s="473">
        <f t="shared" si="103"/>
        <v>0</v>
      </c>
      <c r="K425" s="473">
        <f t="shared" si="104"/>
        <v>760000</v>
      </c>
      <c r="L425" s="167">
        <v>760000</v>
      </c>
      <c r="M425" s="167"/>
      <c r="N425" s="167">
        <f t="shared" si="106"/>
        <v>760000</v>
      </c>
      <c r="O425" s="405"/>
      <c r="P425" s="405"/>
    </row>
    <row r="426" spans="1:16" ht="55.5" hidden="1">
      <c r="A426" s="273" t="s">
        <v>926</v>
      </c>
      <c r="B426" s="481" t="s">
        <v>1299</v>
      </c>
      <c r="C426" s="490" t="s">
        <v>288</v>
      </c>
      <c r="D426" s="483">
        <v>8100</v>
      </c>
      <c r="E426" s="484" t="s">
        <v>776</v>
      </c>
      <c r="F426" s="524" t="s">
        <v>152</v>
      </c>
      <c r="G426" s="486" t="s">
        <v>219</v>
      </c>
      <c r="H426" s="487">
        <v>0.2</v>
      </c>
      <c r="I426" s="473">
        <f t="shared" si="102"/>
        <v>1740000</v>
      </c>
      <c r="J426" s="473">
        <f t="shared" si="103"/>
        <v>0</v>
      </c>
      <c r="K426" s="473">
        <f t="shared" si="104"/>
        <v>1740000</v>
      </c>
      <c r="L426" s="167">
        <v>1740000</v>
      </c>
      <c r="M426" s="167"/>
      <c r="N426" s="167">
        <f t="shared" si="106"/>
        <v>1740000</v>
      </c>
      <c r="O426" s="405"/>
      <c r="P426" s="405"/>
    </row>
    <row r="427" spans="1:16" ht="33" hidden="1">
      <c r="A427" s="273" t="s">
        <v>569</v>
      </c>
      <c r="B427" s="481" t="s">
        <v>1110</v>
      </c>
      <c r="C427" s="490" t="s">
        <v>4</v>
      </c>
      <c r="D427" s="483">
        <v>8100</v>
      </c>
      <c r="E427" s="484" t="s">
        <v>776</v>
      </c>
      <c r="F427" s="524" t="s">
        <v>152</v>
      </c>
      <c r="G427" s="486" t="s">
        <v>148</v>
      </c>
      <c r="H427" s="487">
        <v>1</v>
      </c>
      <c r="I427" s="473">
        <f t="shared" si="102"/>
        <v>100000</v>
      </c>
      <c r="J427" s="473">
        <f t="shared" si="103"/>
        <v>0</v>
      </c>
      <c r="K427" s="473">
        <f t="shared" si="104"/>
        <v>100000</v>
      </c>
      <c r="L427" s="167">
        <v>100000</v>
      </c>
      <c r="M427" s="167"/>
      <c r="N427" s="167">
        <f t="shared" si="106"/>
        <v>100000</v>
      </c>
      <c r="O427" s="405"/>
      <c r="P427" s="405"/>
    </row>
    <row r="428" spans="1:16" ht="83.25" hidden="1">
      <c r="A428" s="273" t="s">
        <v>570</v>
      </c>
      <c r="B428" s="481" t="s">
        <v>1305</v>
      </c>
      <c r="C428" s="490" t="s">
        <v>386</v>
      </c>
      <c r="D428" s="483">
        <v>8100</v>
      </c>
      <c r="E428" s="484" t="s">
        <v>776</v>
      </c>
      <c r="F428" s="524" t="s">
        <v>152</v>
      </c>
      <c r="G428" s="486" t="s">
        <v>204</v>
      </c>
      <c r="H428" s="487">
        <v>1</v>
      </c>
      <c r="I428" s="473">
        <f t="shared" si="102"/>
        <v>5000</v>
      </c>
      <c r="J428" s="473">
        <f t="shared" si="103"/>
        <v>0</v>
      </c>
      <c r="K428" s="473">
        <f t="shared" si="104"/>
        <v>5000</v>
      </c>
      <c r="L428" s="167">
        <v>5000</v>
      </c>
      <c r="M428" s="167"/>
      <c r="N428" s="167">
        <f t="shared" si="106"/>
        <v>5000</v>
      </c>
      <c r="O428" s="405"/>
      <c r="P428" s="405"/>
    </row>
    <row r="429" spans="1:16" ht="38.25" hidden="1" customHeight="1">
      <c r="A429" s="273" t="s">
        <v>571</v>
      </c>
      <c r="B429" s="481" t="s">
        <v>1306</v>
      </c>
      <c r="C429" s="482" t="s">
        <v>385</v>
      </c>
      <c r="D429" s="483">
        <v>8100</v>
      </c>
      <c r="E429" s="484" t="s">
        <v>776</v>
      </c>
      <c r="F429" s="524" t="s">
        <v>152</v>
      </c>
      <c r="G429" s="488" t="s">
        <v>483</v>
      </c>
      <c r="H429" s="489" t="s">
        <v>517</v>
      </c>
      <c r="I429" s="473">
        <f t="shared" si="102"/>
        <v>1650000</v>
      </c>
      <c r="J429" s="473">
        <f t="shared" si="103"/>
        <v>0</v>
      </c>
      <c r="K429" s="473">
        <f t="shared" si="104"/>
        <v>1650000</v>
      </c>
      <c r="L429" s="167">
        <v>1650000</v>
      </c>
      <c r="M429" s="167"/>
      <c r="N429" s="167">
        <f t="shared" si="106"/>
        <v>1650000</v>
      </c>
      <c r="O429" s="405"/>
      <c r="P429" s="405"/>
    </row>
    <row r="430" spans="1:16" ht="55.5" hidden="1">
      <c r="A430" s="273" t="s">
        <v>862</v>
      </c>
      <c r="B430" s="481" t="s">
        <v>1131</v>
      </c>
      <c r="C430" s="490" t="s">
        <v>942</v>
      </c>
      <c r="D430" s="483">
        <v>8100</v>
      </c>
      <c r="E430" s="484" t="s">
        <v>776</v>
      </c>
      <c r="F430" s="524" t="s">
        <v>152</v>
      </c>
      <c r="G430" s="486" t="s">
        <v>219</v>
      </c>
      <c r="H430" s="487">
        <v>0.2</v>
      </c>
      <c r="I430" s="473">
        <f t="shared" si="102"/>
        <v>13000000</v>
      </c>
      <c r="J430" s="473">
        <f t="shared" si="103"/>
        <v>0</v>
      </c>
      <c r="K430" s="473">
        <f t="shared" si="104"/>
        <v>13000000</v>
      </c>
      <c r="L430" s="167">
        <v>13000000</v>
      </c>
      <c r="M430" s="167"/>
      <c r="N430" s="167">
        <f>SUM(L430,M430)</f>
        <v>13000000</v>
      </c>
      <c r="O430" s="405"/>
      <c r="P430" s="405"/>
    </row>
    <row r="431" spans="1:16" ht="33" hidden="1">
      <c r="A431" s="273" t="s">
        <v>922</v>
      </c>
      <c r="B431" s="481" t="s">
        <v>1307</v>
      </c>
      <c r="C431" s="490" t="s">
        <v>946</v>
      </c>
      <c r="D431" s="483">
        <v>8100</v>
      </c>
      <c r="E431" s="484" t="s">
        <v>776</v>
      </c>
      <c r="F431" s="524" t="s">
        <v>152</v>
      </c>
      <c r="G431" s="486" t="s">
        <v>215</v>
      </c>
      <c r="H431" s="487">
        <v>1</v>
      </c>
      <c r="I431" s="473">
        <f t="shared" si="102"/>
        <v>13053361</v>
      </c>
      <c r="J431" s="473">
        <f t="shared" si="103"/>
        <v>0</v>
      </c>
      <c r="K431" s="473">
        <f t="shared" si="104"/>
        <v>13053361</v>
      </c>
      <c r="L431" s="167">
        <v>13053361</v>
      </c>
      <c r="M431" s="167"/>
      <c r="N431" s="167">
        <f>SUM(L431:M431)</f>
        <v>13053361</v>
      </c>
      <c r="O431" s="405"/>
      <c r="P431" s="405"/>
    </row>
    <row r="432" spans="1:16" ht="33" hidden="1">
      <c r="A432" s="273" t="s">
        <v>572</v>
      </c>
      <c r="B432" s="481" t="s">
        <v>1094</v>
      </c>
      <c r="C432" s="490" t="s">
        <v>519</v>
      </c>
      <c r="D432" s="483">
        <v>8100</v>
      </c>
      <c r="E432" s="484" t="s">
        <v>776</v>
      </c>
      <c r="F432" s="524" t="s">
        <v>152</v>
      </c>
      <c r="G432" s="486" t="s">
        <v>203</v>
      </c>
      <c r="H432" s="487">
        <v>1</v>
      </c>
      <c r="I432" s="473">
        <f t="shared" si="102"/>
        <v>32000</v>
      </c>
      <c r="J432" s="473">
        <f t="shared" si="103"/>
        <v>0</v>
      </c>
      <c r="K432" s="473">
        <f t="shared" si="104"/>
        <v>32000</v>
      </c>
      <c r="L432" s="167">
        <v>32000</v>
      </c>
      <c r="M432" s="167"/>
      <c r="N432" s="167">
        <f>SUM(L432:M432)</f>
        <v>32000</v>
      </c>
      <c r="O432" s="405"/>
      <c r="P432" s="405"/>
    </row>
    <row r="433" spans="1:20" ht="33" hidden="1">
      <c r="A433" s="273" t="s">
        <v>573</v>
      </c>
      <c r="B433" s="481" t="s">
        <v>1310</v>
      </c>
      <c r="C433" s="490" t="s">
        <v>484</v>
      </c>
      <c r="D433" s="483">
        <v>8100</v>
      </c>
      <c r="E433" s="484" t="s">
        <v>776</v>
      </c>
      <c r="F433" s="524" t="s">
        <v>152</v>
      </c>
      <c r="G433" s="486" t="s">
        <v>485</v>
      </c>
      <c r="H433" s="487">
        <v>1</v>
      </c>
      <c r="I433" s="473">
        <f t="shared" si="102"/>
        <v>190000</v>
      </c>
      <c r="J433" s="473">
        <f t="shared" si="103"/>
        <v>0</v>
      </c>
      <c r="K433" s="473">
        <f t="shared" si="104"/>
        <v>190000</v>
      </c>
      <c r="L433" s="167">
        <v>190000</v>
      </c>
      <c r="M433" s="167"/>
      <c r="N433" s="167">
        <f>SUM(L433:M433)</f>
        <v>190000</v>
      </c>
      <c r="O433" s="405"/>
      <c r="P433" s="405"/>
    </row>
    <row r="434" spans="1:20" ht="33" hidden="1">
      <c r="A434" s="273" t="s">
        <v>574</v>
      </c>
      <c r="B434" s="481" t="s">
        <v>1308</v>
      </c>
      <c r="C434" s="490" t="s">
        <v>486</v>
      </c>
      <c r="D434" s="483">
        <v>8100</v>
      </c>
      <c r="E434" s="484" t="s">
        <v>776</v>
      </c>
      <c r="F434" s="524" t="s">
        <v>152</v>
      </c>
      <c r="G434" s="486" t="s">
        <v>215</v>
      </c>
      <c r="H434" s="487">
        <v>1</v>
      </c>
      <c r="I434" s="473">
        <f t="shared" si="102"/>
        <v>39997</v>
      </c>
      <c r="J434" s="473">
        <f t="shared" si="103"/>
        <v>0</v>
      </c>
      <c r="K434" s="473">
        <f t="shared" si="104"/>
        <v>39997</v>
      </c>
      <c r="L434" s="167">
        <v>39997</v>
      </c>
      <c r="M434" s="167"/>
      <c r="N434" s="167">
        <f>SUM(L434:M434)</f>
        <v>39997</v>
      </c>
      <c r="O434" s="405"/>
      <c r="P434" s="405"/>
    </row>
    <row r="435" spans="1:20" ht="33" hidden="1">
      <c r="A435" s="273" t="s">
        <v>905</v>
      </c>
      <c r="B435" s="481" t="s">
        <v>1309</v>
      </c>
      <c r="C435" s="490" t="s">
        <v>906</v>
      </c>
      <c r="D435" s="483">
        <v>8100</v>
      </c>
      <c r="E435" s="484" t="s">
        <v>776</v>
      </c>
      <c r="F435" s="524" t="s">
        <v>152</v>
      </c>
      <c r="G435" s="486" t="s">
        <v>204</v>
      </c>
      <c r="H435" s="487">
        <v>1</v>
      </c>
      <c r="I435" s="473">
        <f t="shared" si="102"/>
        <v>12000</v>
      </c>
      <c r="J435" s="473">
        <f t="shared" si="103"/>
        <v>0</v>
      </c>
      <c r="K435" s="473">
        <f t="shared" si="104"/>
        <v>12000</v>
      </c>
      <c r="L435" s="167">
        <v>12000</v>
      </c>
      <c r="M435" s="167"/>
      <c r="N435" s="167">
        <f>SUM(L435,M435)</f>
        <v>12000</v>
      </c>
      <c r="O435" s="405"/>
      <c r="P435" s="405"/>
    </row>
    <row r="436" spans="1:20" s="510" customFormat="1" ht="72" hidden="1" customHeight="1">
      <c r="A436" s="501"/>
      <c r="B436" s="502"/>
      <c r="C436" s="503" t="s">
        <v>278</v>
      </c>
      <c r="D436" s="504"/>
      <c r="E436" s="505"/>
      <c r="F436" s="504"/>
      <c r="G436" s="504"/>
      <c r="H436" s="504"/>
      <c r="I436" s="506">
        <f>SUM(I437)</f>
        <v>30000</v>
      </c>
      <c r="J436" s="506"/>
      <c r="K436" s="506">
        <f>SUM(K437)</f>
        <v>30000</v>
      </c>
      <c r="L436" s="507">
        <f>SUM(L437)</f>
        <v>30000</v>
      </c>
      <c r="M436" s="507"/>
      <c r="N436" s="507">
        <f>SUM(N437)</f>
        <v>30000</v>
      </c>
      <c r="O436" s="508"/>
      <c r="P436" s="508"/>
      <c r="Q436" s="623"/>
      <c r="R436" s="508"/>
      <c r="S436" s="508"/>
      <c r="T436" s="509"/>
    </row>
    <row r="437" spans="1:20" ht="38.25" hidden="1" customHeight="1">
      <c r="A437" s="273" t="s">
        <v>648</v>
      </c>
      <c r="B437" s="481" t="s">
        <v>981</v>
      </c>
      <c r="C437" s="482" t="s">
        <v>289</v>
      </c>
      <c r="D437" s="483">
        <v>8100</v>
      </c>
      <c r="E437" s="484" t="s">
        <v>686</v>
      </c>
      <c r="F437" s="524" t="s">
        <v>152</v>
      </c>
      <c r="G437" s="488" t="s">
        <v>18</v>
      </c>
      <c r="H437" s="489">
        <v>8</v>
      </c>
      <c r="I437" s="473">
        <f>INT(L437*$Q$139)</f>
        <v>30000</v>
      </c>
      <c r="J437" s="473">
        <f>INT(M437*$R$139)</f>
        <v>0</v>
      </c>
      <c r="K437" s="473">
        <f>SUM(I437:J437)</f>
        <v>30000</v>
      </c>
      <c r="L437" s="167">
        <v>30000</v>
      </c>
      <c r="M437" s="167"/>
      <c r="N437" s="167">
        <f>SUM(L437,M437)</f>
        <v>30000</v>
      </c>
      <c r="O437" s="405"/>
      <c r="P437" s="405"/>
    </row>
    <row r="438" spans="1:20" ht="35.1" hidden="1" customHeight="1">
      <c r="A438" s="138"/>
      <c r="B438" s="138"/>
      <c r="C438" s="139" t="s">
        <v>274</v>
      </c>
      <c r="D438" s="139"/>
      <c r="E438" s="139"/>
      <c r="F438" s="137"/>
      <c r="G438" s="137"/>
      <c r="H438" s="137"/>
      <c r="I438" s="395"/>
      <c r="J438" s="385">
        <f>SUM(J439)</f>
        <v>0</v>
      </c>
      <c r="K438" s="385">
        <f>SUM(K439)</f>
        <v>0</v>
      </c>
      <c r="L438" s="141"/>
      <c r="M438" s="49">
        <f>SUM(M439)</f>
        <v>0</v>
      </c>
      <c r="N438" s="49">
        <f>SUM(N439)</f>
        <v>0</v>
      </c>
    </row>
    <row r="439" spans="1:20" ht="48.75" hidden="1" customHeight="1">
      <c r="A439" s="252" t="s">
        <v>847</v>
      </c>
      <c r="B439" s="252" t="s">
        <v>847</v>
      </c>
      <c r="C439" s="183" t="s">
        <v>431</v>
      </c>
      <c r="D439" s="228">
        <v>112</v>
      </c>
      <c r="E439" s="229" t="s">
        <v>795</v>
      </c>
      <c r="F439" s="230" t="s">
        <v>152</v>
      </c>
      <c r="G439" s="183" t="s">
        <v>142</v>
      </c>
      <c r="H439" s="238">
        <v>1</v>
      </c>
      <c r="I439" s="386">
        <f>INT(L439*$Q$139)</f>
        <v>0</v>
      </c>
      <c r="J439" s="386">
        <v>0</v>
      </c>
      <c r="K439" s="386">
        <f>SUM(I439:J439)</f>
        <v>0</v>
      </c>
      <c r="L439" s="184"/>
      <c r="M439" s="168"/>
      <c r="N439" s="168">
        <f>SUM(L439,M439)</f>
        <v>0</v>
      </c>
    </row>
    <row r="440" spans="1:20" s="510" customFormat="1" ht="72" hidden="1" customHeight="1">
      <c r="A440" s="501"/>
      <c r="B440" s="502"/>
      <c r="C440" s="503" t="s">
        <v>332</v>
      </c>
      <c r="D440" s="504"/>
      <c r="E440" s="505"/>
      <c r="F440" s="504"/>
      <c r="G440" s="504"/>
      <c r="H440" s="504"/>
      <c r="I440" s="506">
        <f>I441</f>
        <v>276976</v>
      </c>
      <c r="J440" s="506">
        <f>J441</f>
        <v>0</v>
      </c>
      <c r="K440" s="506">
        <f>I440+J440</f>
        <v>276976</v>
      </c>
      <c r="L440" s="507">
        <f>L441</f>
        <v>276976</v>
      </c>
      <c r="M440" s="507">
        <f>M441</f>
        <v>0</v>
      </c>
      <c r="N440" s="507">
        <f>L440+M440</f>
        <v>276976</v>
      </c>
      <c r="O440" s="508"/>
      <c r="P440" s="508"/>
      <c r="Q440" s="623"/>
      <c r="R440" s="508"/>
      <c r="S440" s="508"/>
      <c r="T440" s="509"/>
    </row>
    <row r="441" spans="1:20" ht="55.5" hidden="1">
      <c r="A441" s="273" t="s">
        <v>675</v>
      </c>
      <c r="B441" s="481" t="s">
        <v>1111</v>
      </c>
      <c r="C441" s="490" t="s">
        <v>1079</v>
      </c>
      <c r="D441" s="483">
        <v>8100</v>
      </c>
      <c r="E441" s="492">
        <v>108286</v>
      </c>
      <c r="F441" s="524" t="s">
        <v>152</v>
      </c>
      <c r="G441" s="486" t="s">
        <v>215</v>
      </c>
      <c r="H441" s="487">
        <v>1</v>
      </c>
      <c r="I441" s="473">
        <f>INT(L441*$Q$139)</f>
        <v>276976</v>
      </c>
      <c r="J441" s="473">
        <f>INT(M441*$R$139)</f>
        <v>0</v>
      </c>
      <c r="K441" s="473">
        <f>SUM(I441:J441)</f>
        <v>276976</v>
      </c>
      <c r="L441" s="167">
        <v>276976</v>
      </c>
      <c r="M441" s="167"/>
      <c r="N441" s="167">
        <f>SUM(L441,M441)</f>
        <v>276976</v>
      </c>
      <c r="O441" s="405"/>
      <c r="P441" s="405"/>
    </row>
    <row r="442" spans="1:20" s="510" customFormat="1" ht="72" hidden="1" customHeight="1">
      <c r="A442" s="501"/>
      <c r="B442" s="502"/>
      <c r="C442" s="503" t="s">
        <v>311</v>
      </c>
      <c r="D442" s="504"/>
      <c r="E442" s="505"/>
      <c r="F442" s="504"/>
      <c r="G442" s="504"/>
      <c r="H442" s="504"/>
      <c r="I442" s="506">
        <f>I443</f>
        <v>146412</v>
      </c>
      <c r="J442" s="506">
        <f>J443</f>
        <v>0</v>
      </c>
      <c r="K442" s="506">
        <f>I442+J442</f>
        <v>146412</v>
      </c>
      <c r="L442" s="507">
        <f>L443</f>
        <v>146412</v>
      </c>
      <c r="M442" s="507">
        <f>M443</f>
        <v>0</v>
      </c>
      <c r="N442" s="507">
        <f>L442+M442</f>
        <v>146412</v>
      </c>
      <c r="O442" s="508"/>
      <c r="P442" s="508"/>
      <c r="Q442" s="623"/>
      <c r="R442" s="508"/>
      <c r="S442" s="508"/>
      <c r="T442" s="509"/>
    </row>
    <row r="443" spans="1:20" ht="55.5" hidden="1">
      <c r="A443" s="273" t="s">
        <v>675</v>
      </c>
      <c r="B443" s="481" t="s">
        <v>1112</v>
      </c>
      <c r="C443" s="490" t="s">
        <v>1076</v>
      </c>
      <c r="D443" s="483">
        <v>8100</v>
      </c>
      <c r="E443" s="492" t="s">
        <v>778</v>
      </c>
      <c r="F443" s="524" t="s">
        <v>152</v>
      </c>
      <c r="G443" s="486" t="s">
        <v>215</v>
      </c>
      <c r="H443" s="487">
        <v>1</v>
      </c>
      <c r="I443" s="473">
        <f>INT(L443*$Q$139)</f>
        <v>146412</v>
      </c>
      <c r="J443" s="473">
        <f>INT(M443*$R$139)</f>
        <v>0</v>
      </c>
      <c r="K443" s="473">
        <f>SUM(I443:J443)</f>
        <v>146412</v>
      </c>
      <c r="L443" s="167">
        <v>146412</v>
      </c>
      <c r="M443" s="167"/>
      <c r="N443" s="167">
        <f>SUM(L443,M443)</f>
        <v>146412</v>
      </c>
      <c r="O443" s="405"/>
      <c r="P443" s="405"/>
    </row>
    <row r="444" spans="1:20" s="510" customFormat="1" ht="72" hidden="1" customHeight="1">
      <c r="A444" s="501"/>
      <c r="B444" s="502"/>
      <c r="C444" s="503" t="s">
        <v>821</v>
      </c>
      <c r="D444" s="504"/>
      <c r="E444" s="505"/>
      <c r="F444" s="504"/>
      <c r="G444" s="504"/>
      <c r="H444" s="504"/>
      <c r="I444" s="506">
        <f>I445</f>
        <v>50204</v>
      </c>
      <c r="J444" s="506">
        <f>J445</f>
        <v>0</v>
      </c>
      <c r="K444" s="506">
        <f>SUM(I444,J444)</f>
        <v>50204</v>
      </c>
      <c r="L444" s="507">
        <f>L445</f>
        <v>50204</v>
      </c>
      <c r="M444" s="507">
        <f>M445</f>
        <v>0</v>
      </c>
      <c r="N444" s="507">
        <f>SUM(L444,M444)</f>
        <v>50204</v>
      </c>
      <c r="O444" s="508"/>
      <c r="P444" s="508"/>
      <c r="Q444" s="623"/>
      <c r="R444" s="508"/>
      <c r="S444" s="508"/>
      <c r="T444" s="509"/>
    </row>
    <row r="445" spans="1:20" ht="55.5" hidden="1">
      <c r="A445" s="273"/>
      <c r="B445" s="481" t="s">
        <v>1113</v>
      </c>
      <c r="C445" s="490" t="s">
        <v>1095</v>
      </c>
      <c r="D445" s="483">
        <v>8100</v>
      </c>
      <c r="E445" s="492">
        <v>138154</v>
      </c>
      <c r="F445" s="524" t="s">
        <v>152</v>
      </c>
      <c r="G445" s="486" t="s">
        <v>215</v>
      </c>
      <c r="H445" s="487">
        <v>1</v>
      </c>
      <c r="I445" s="473">
        <f>INT(L445*$Q$139)</f>
        <v>50204</v>
      </c>
      <c r="J445" s="473">
        <f>INT(M445*$Q$139)</f>
        <v>0</v>
      </c>
      <c r="K445" s="473">
        <f>SUM(I445:J445)</f>
        <v>50204</v>
      </c>
      <c r="L445" s="167">
        <v>50204</v>
      </c>
      <c r="M445" s="167"/>
      <c r="N445" s="167">
        <f>SUM(L445,M445)</f>
        <v>50204</v>
      </c>
      <c r="O445" s="405"/>
      <c r="P445" s="405"/>
    </row>
    <row r="446" spans="1:20" s="510" customFormat="1" ht="72" hidden="1" customHeight="1">
      <c r="A446" s="501"/>
      <c r="B446" s="502"/>
      <c r="C446" s="503" t="s">
        <v>753</v>
      </c>
      <c r="D446" s="504"/>
      <c r="E446" s="505"/>
      <c r="F446" s="504"/>
      <c r="G446" s="504"/>
      <c r="H446" s="504"/>
      <c r="I446" s="506">
        <f>SUM(I447:I448)</f>
        <v>28446639</v>
      </c>
      <c r="J446" s="506">
        <f>SUM(J447:J448)</f>
        <v>0</v>
      </c>
      <c r="K446" s="506">
        <f>I446+J446</f>
        <v>28446639</v>
      </c>
      <c r="L446" s="507">
        <f>SUM(L447:L448)</f>
        <v>28446639</v>
      </c>
      <c r="M446" s="507">
        <f>SUM(M447:M448)</f>
        <v>0</v>
      </c>
      <c r="N446" s="507">
        <f>L446+M446</f>
        <v>28446639</v>
      </c>
      <c r="O446" s="508"/>
      <c r="P446" s="508"/>
      <c r="Q446" s="623"/>
      <c r="R446" s="508"/>
      <c r="S446" s="508"/>
      <c r="T446" s="509"/>
    </row>
    <row r="447" spans="1:20" ht="61.5" hidden="1" customHeight="1">
      <c r="A447" s="273" t="s">
        <v>568</v>
      </c>
      <c r="B447" s="481" t="s">
        <v>1311</v>
      </c>
      <c r="C447" s="490" t="s">
        <v>364</v>
      </c>
      <c r="D447" s="483">
        <v>8100</v>
      </c>
      <c r="E447" s="492" t="s">
        <v>780</v>
      </c>
      <c r="F447" s="524" t="s">
        <v>152</v>
      </c>
      <c r="G447" s="486" t="s">
        <v>220</v>
      </c>
      <c r="H447" s="487">
        <v>0.2</v>
      </c>
      <c r="I447" s="473">
        <f>INT(L447*$Q$139)</f>
        <v>23500000</v>
      </c>
      <c r="J447" s="473">
        <f>INT(M447*$R$139)</f>
        <v>0</v>
      </c>
      <c r="K447" s="473">
        <f>SUM(I447:J447)</f>
        <v>23500000</v>
      </c>
      <c r="L447" s="167">
        <v>23500000</v>
      </c>
      <c r="M447" s="167"/>
      <c r="N447" s="167">
        <f>SUM(L447:M447)</f>
        <v>23500000</v>
      </c>
      <c r="O447" s="405"/>
      <c r="P447" s="405"/>
    </row>
    <row r="448" spans="1:20" ht="33" hidden="1">
      <c r="A448" s="273" t="s">
        <v>922</v>
      </c>
      <c r="B448" s="481" t="s">
        <v>1312</v>
      </c>
      <c r="C448" s="490" t="s">
        <v>946</v>
      </c>
      <c r="D448" s="483">
        <v>8100</v>
      </c>
      <c r="E448" s="492" t="s">
        <v>780</v>
      </c>
      <c r="F448" s="524" t="s">
        <v>152</v>
      </c>
      <c r="G448" s="486" t="s">
        <v>215</v>
      </c>
      <c r="H448" s="487">
        <v>1</v>
      </c>
      <c r="I448" s="473">
        <f>INT(L448*$Q$139)</f>
        <v>4946639</v>
      </c>
      <c r="J448" s="473">
        <f>INT(M448*$R$139)</f>
        <v>0</v>
      </c>
      <c r="K448" s="473">
        <f>SUM(I448:J448)</f>
        <v>4946639</v>
      </c>
      <c r="L448" s="167">
        <v>4946639</v>
      </c>
      <c r="M448" s="167"/>
      <c r="N448" s="167">
        <f>SUM(L448:M448)</f>
        <v>4946639</v>
      </c>
      <c r="O448" s="405"/>
      <c r="P448" s="405"/>
    </row>
    <row r="449" spans="1:20" s="472" customFormat="1" ht="45" hidden="1" customHeight="1">
      <c r="A449" s="478" t="s">
        <v>200</v>
      </c>
      <c r="B449" s="1263" t="s">
        <v>200</v>
      </c>
      <c r="C449" s="1264"/>
      <c r="D449" s="1264"/>
      <c r="E449" s="1264"/>
      <c r="F449" s="1264"/>
      <c r="G449" s="1264"/>
      <c r="H449" s="1265"/>
      <c r="I449" s="479">
        <f>SUM(I415,I436,I438,I446,I442,I440,I444)</f>
        <v>67053789</v>
      </c>
      <c r="J449" s="479">
        <f>SUM(J415,J436,J438,J446,J442,J440,J444)</f>
        <v>0</v>
      </c>
      <c r="K449" s="479">
        <f>I449+J449</f>
        <v>67053789</v>
      </c>
      <c r="L449" s="480">
        <f>SUM(L415,L436,L438,L446,L442,L440,L444)</f>
        <v>67053789</v>
      </c>
      <c r="M449" s="480">
        <f>SUM(M415,M436,M438,M446,M442,M440,M444)</f>
        <v>0</v>
      </c>
      <c r="N449" s="480">
        <f>L449+M449</f>
        <v>67053789</v>
      </c>
      <c r="O449" s="470"/>
      <c r="P449" s="470"/>
      <c r="Q449" s="622"/>
      <c r="R449" s="470"/>
      <c r="S449" s="470"/>
      <c r="T449" s="471"/>
    </row>
    <row r="450" spans="1:20" ht="49.5" hidden="1" customHeight="1">
      <c r="A450" s="87"/>
      <c r="B450" s="1287" t="s">
        <v>1295</v>
      </c>
      <c r="C450" s="1287"/>
      <c r="D450" s="1287"/>
      <c r="E450" s="1287"/>
      <c r="F450" s="1287"/>
      <c r="G450" s="1287"/>
      <c r="H450" s="1287"/>
      <c r="I450" s="1287"/>
      <c r="J450" s="1287"/>
      <c r="K450" s="1287"/>
      <c r="L450" s="89"/>
      <c r="M450" s="90"/>
      <c r="N450" s="90"/>
      <c r="Q450" s="620"/>
      <c r="R450" s="27"/>
      <c r="S450" s="27"/>
      <c r="T450" s="27"/>
    </row>
    <row r="451" spans="1:20" ht="20.25" hidden="1" customHeight="1">
      <c r="A451" s="85"/>
      <c r="B451" s="85"/>
      <c r="C451" s="1290" t="s">
        <v>692</v>
      </c>
      <c r="D451" s="1290"/>
      <c r="E451" s="1290"/>
      <c r="F451" s="1290"/>
      <c r="G451" s="1290"/>
      <c r="H451" s="1290"/>
      <c r="I451" s="1290"/>
      <c r="J451" s="1290"/>
      <c r="K451" s="1290"/>
      <c r="L451" s="1290"/>
      <c r="M451" s="1290"/>
      <c r="N451" s="1290"/>
      <c r="Q451" s="620"/>
      <c r="R451" s="27"/>
      <c r="S451" s="27"/>
      <c r="T451" s="27"/>
    </row>
    <row r="452" spans="1:20" ht="60.75" hidden="1" customHeight="1">
      <c r="A452" s="91"/>
      <c r="B452" s="1287" t="s">
        <v>1284</v>
      </c>
      <c r="C452" s="1287"/>
      <c r="D452" s="1287"/>
      <c r="E452" s="1287"/>
      <c r="F452" s="1287"/>
      <c r="G452" s="1287"/>
      <c r="H452" s="1287"/>
      <c r="I452" s="1287"/>
      <c r="J452" s="1287"/>
      <c r="K452" s="1287"/>
      <c r="L452" s="91"/>
      <c r="M452" s="91"/>
      <c r="N452" s="91"/>
    </row>
    <row r="453" spans="1:20" ht="17.100000000000001" hidden="1" customHeight="1">
      <c r="A453" s="91"/>
      <c r="B453" s="91"/>
      <c r="C453" s="91"/>
      <c r="D453" s="91"/>
      <c r="E453" s="91"/>
      <c r="F453" s="91"/>
      <c r="G453" s="8"/>
      <c r="H453" s="8"/>
      <c r="I453" s="8"/>
      <c r="J453" s="8"/>
      <c r="K453" s="8"/>
      <c r="L453" s="91"/>
      <c r="M453" s="91"/>
      <c r="N453" s="91"/>
    </row>
    <row r="454" spans="1:20" s="17" customFormat="1" ht="17.100000000000001" hidden="1" customHeight="1">
      <c r="A454" s="91"/>
      <c r="B454" s="91"/>
      <c r="C454" s="91"/>
      <c r="D454" s="91"/>
      <c r="E454" s="91"/>
      <c r="F454" s="91"/>
      <c r="G454" s="8"/>
      <c r="H454" s="8"/>
      <c r="I454" s="8"/>
      <c r="J454" s="8"/>
      <c r="K454" s="8"/>
      <c r="L454" s="91"/>
      <c r="M454" s="91"/>
      <c r="N454" s="91"/>
      <c r="O454" s="28"/>
      <c r="P454" s="28"/>
      <c r="Q454" s="312"/>
      <c r="R454" s="28"/>
      <c r="S454" s="28"/>
      <c r="T454" s="29"/>
    </row>
    <row r="455" spans="1:20" s="17" customFormat="1" ht="17.100000000000001" hidden="1" customHeight="1">
      <c r="A455" s="91"/>
      <c r="B455" s="91"/>
      <c r="C455" s="91"/>
      <c r="D455" s="91"/>
      <c r="E455" s="91"/>
      <c r="F455" s="91"/>
      <c r="G455" s="8"/>
      <c r="H455" s="8"/>
      <c r="I455" s="8"/>
      <c r="J455" s="8"/>
      <c r="K455" s="8"/>
      <c r="L455" s="91"/>
      <c r="M455" s="91"/>
      <c r="N455" s="91"/>
      <c r="O455" s="28"/>
      <c r="P455" s="28"/>
      <c r="Q455" s="312"/>
      <c r="R455" s="28"/>
      <c r="S455" s="28"/>
      <c r="T455" s="29"/>
    </row>
    <row r="456" spans="1:20" s="17" customFormat="1" ht="17.100000000000001" hidden="1" customHeight="1" thickBot="1">
      <c r="A456" s="59"/>
      <c r="B456" s="59"/>
      <c r="C456" s="73"/>
      <c r="D456" s="73"/>
      <c r="E456" s="73"/>
      <c r="F456" s="70"/>
      <c r="G456" s="70"/>
      <c r="H456" s="70"/>
      <c r="I456" s="70"/>
      <c r="J456" s="70"/>
      <c r="K456" s="70"/>
      <c r="L456" s="73"/>
      <c r="M456" s="73"/>
      <c r="N456" s="73"/>
      <c r="O456" s="28"/>
      <c r="P456" s="28"/>
      <c r="Q456" s="312"/>
      <c r="R456" s="28"/>
      <c r="S456" s="28"/>
      <c r="T456" s="29"/>
    </row>
    <row r="457" spans="1:20" s="17" customFormat="1" ht="30.75" hidden="1" customHeight="1">
      <c r="A457" s="59"/>
      <c r="B457" s="59"/>
      <c r="C457" s="1204" t="s">
        <v>51</v>
      </c>
      <c r="D457" s="1204"/>
      <c r="E457" s="1204"/>
      <c r="F457" s="1204"/>
      <c r="G457" s="10"/>
      <c r="H457" s="1243" t="s">
        <v>11</v>
      </c>
      <c r="I457" s="1244"/>
      <c r="J457" s="1244"/>
      <c r="K457" s="1245"/>
      <c r="L457" s="337"/>
      <c r="M457" s="337"/>
      <c r="N457" s="337"/>
      <c r="O457" s="28"/>
      <c r="P457" s="28"/>
      <c r="Q457" s="312"/>
      <c r="R457" s="28"/>
      <c r="S457" s="28"/>
      <c r="T457" s="29"/>
    </row>
    <row r="458" spans="1:20" s="17" customFormat="1" ht="30.75" hidden="1" customHeight="1">
      <c r="A458" s="59"/>
      <c r="B458" s="59"/>
      <c r="C458" s="1204" t="s">
        <v>52</v>
      </c>
      <c r="D458" s="1204"/>
      <c r="E458" s="1204"/>
      <c r="F458" s="1204"/>
      <c r="G458" s="10"/>
      <c r="H458" s="1208" t="s">
        <v>136</v>
      </c>
      <c r="I458" s="1209"/>
      <c r="J458" s="1209"/>
      <c r="K458" s="1210"/>
      <c r="L458" s="335"/>
      <c r="M458" s="335"/>
      <c r="N458" s="335"/>
      <c r="O458" s="28"/>
      <c r="P458" s="28"/>
      <c r="Q458" s="312"/>
      <c r="R458" s="28"/>
      <c r="S458" s="28"/>
      <c r="T458" s="29"/>
    </row>
    <row r="459" spans="1:20" s="17" customFormat="1" ht="45.75" hidden="1" customHeight="1">
      <c r="A459" s="10"/>
      <c r="B459" s="10"/>
      <c r="C459" s="1204" t="s">
        <v>50</v>
      </c>
      <c r="D459" s="1204"/>
      <c r="E459" s="1204"/>
      <c r="F459" s="1204"/>
      <c r="G459" s="10"/>
      <c r="H459" s="1211"/>
      <c r="I459" s="1212"/>
      <c r="J459" s="1212"/>
      <c r="K459" s="1213"/>
      <c r="L459" s="335"/>
      <c r="M459" s="335"/>
      <c r="N459" s="335"/>
      <c r="O459" s="28"/>
      <c r="P459" s="28"/>
      <c r="Q459" s="312"/>
      <c r="R459" s="28"/>
      <c r="S459" s="28"/>
      <c r="T459" s="29"/>
    </row>
    <row r="460" spans="1:20" s="17" customFormat="1" ht="34.5" hidden="1" customHeight="1">
      <c r="A460" s="10"/>
      <c r="B460" s="10"/>
      <c r="C460" s="10"/>
      <c r="D460" s="10"/>
      <c r="E460" s="10"/>
      <c r="F460" s="10"/>
      <c r="G460" s="10"/>
      <c r="H460" s="1211" t="s">
        <v>22</v>
      </c>
      <c r="I460" s="1212"/>
      <c r="J460" s="1212"/>
      <c r="K460" s="477">
        <f>SUM(K486)</f>
        <v>1022426</v>
      </c>
      <c r="L460" s="336"/>
      <c r="M460" s="336"/>
      <c r="N460" s="86"/>
      <c r="O460" s="28"/>
      <c r="P460" s="28"/>
      <c r="Q460" s="312"/>
      <c r="R460" s="28"/>
      <c r="S460" s="28"/>
      <c r="T460" s="29"/>
    </row>
    <row r="461" spans="1:20" s="17" customFormat="1" ht="39.950000000000003" hidden="1" customHeight="1" thickBot="1">
      <c r="A461" s="10"/>
      <c r="B461" s="10"/>
      <c r="C461" s="10"/>
      <c r="D461" s="10"/>
      <c r="E461" s="10"/>
      <c r="F461" s="10"/>
      <c r="G461" s="10"/>
      <c r="H461" s="1283" t="s">
        <v>13</v>
      </c>
      <c r="I461" s="1284"/>
      <c r="J461" s="1284"/>
      <c r="K461" s="1285"/>
      <c r="L461" s="336"/>
      <c r="M461" s="336"/>
      <c r="N461" s="336"/>
      <c r="O461" s="28"/>
      <c r="P461" s="28"/>
      <c r="Q461" s="312"/>
      <c r="R461" s="28"/>
      <c r="S461" s="28"/>
      <c r="T461" s="29"/>
    </row>
    <row r="462" spans="1:20" ht="17.100000000000001" hidden="1" customHeight="1">
      <c r="A462" s="10"/>
      <c r="B462" s="10"/>
      <c r="C462" s="10"/>
      <c r="D462" s="10"/>
      <c r="E462" s="10"/>
      <c r="F462" s="10"/>
      <c r="G462" s="10"/>
      <c r="H462" s="38"/>
      <c r="I462" s="38"/>
      <c r="J462" s="38"/>
      <c r="K462" s="38"/>
      <c r="L462" s="38"/>
      <c r="M462" s="38"/>
      <c r="N462" s="38"/>
    </row>
    <row r="463" spans="1:20" ht="20.100000000000001" hidden="1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8"/>
      <c r="M463" s="8"/>
      <c r="N463" s="8"/>
    </row>
    <row r="464" spans="1:20" ht="20.100000000000001" hidden="1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8"/>
      <c r="M464" s="8"/>
      <c r="N464" s="8"/>
    </row>
    <row r="465" spans="1:20" ht="20.100000000000001" hidden="1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6"/>
      <c r="M465" s="6"/>
      <c r="N465" s="7"/>
    </row>
    <row r="466" spans="1:20" ht="44.25" hidden="1" customHeight="1">
      <c r="A466" s="346" t="s">
        <v>1057</v>
      </c>
      <c r="B466" s="1226" t="s">
        <v>1037</v>
      </c>
      <c r="C466" s="1226"/>
      <c r="D466" s="1226"/>
      <c r="E466" s="1226"/>
      <c r="F466" s="1226"/>
      <c r="G466" s="1226"/>
      <c r="H466" s="1226"/>
      <c r="I466" s="1226"/>
      <c r="J466" s="1226"/>
      <c r="K466" s="1226"/>
      <c r="L466" s="346"/>
      <c r="M466" s="346"/>
      <c r="N466" s="346"/>
      <c r="O466" s="27"/>
      <c r="P466" s="27"/>
      <c r="Q466" s="620"/>
      <c r="R466" s="27"/>
      <c r="S466" s="27"/>
      <c r="T466" s="27"/>
    </row>
    <row r="467" spans="1:20" ht="24.95" hidden="1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</row>
    <row r="468" spans="1:20" s="500" customFormat="1" ht="60" hidden="1">
      <c r="A468" s="496" t="s">
        <v>14</v>
      </c>
      <c r="B468" s="497"/>
      <c r="C468" s="497" t="s">
        <v>39</v>
      </c>
      <c r="D468" s="497" t="s">
        <v>440</v>
      </c>
      <c r="E468" s="497" t="s">
        <v>16</v>
      </c>
      <c r="F468" s="497" t="s">
        <v>185</v>
      </c>
      <c r="G468" s="497" t="s">
        <v>178</v>
      </c>
      <c r="H468" s="497" t="s">
        <v>179</v>
      </c>
      <c r="I468" s="497" t="s">
        <v>180</v>
      </c>
      <c r="J468" s="497" t="s">
        <v>181</v>
      </c>
      <c r="K468" s="497" t="s">
        <v>200</v>
      </c>
      <c r="L468" s="496" t="s">
        <v>180</v>
      </c>
      <c r="M468" s="496" t="s">
        <v>181</v>
      </c>
      <c r="N468" s="496" t="s">
        <v>200</v>
      </c>
      <c r="O468" s="498"/>
      <c r="P468" s="498"/>
      <c r="Q468" s="622"/>
      <c r="R468" s="498"/>
      <c r="S468" s="498"/>
      <c r="T468" s="499"/>
    </row>
    <row r="469" spans="1:20" s="510" customFormat="1" ht="72" hidden="1" customHeight="1">
      <c r="A469" s="501"/>
      <c r="B469" s="502"/>
      <c r="C469" s="503" t="s">
        <v>273</v>
      </c>
      <c r="D469" s="504"/>
      <c r="E469" s="505"/>
      <c r="F469" s="504"/>
      <c r="G469" s="504"/>
      <c r="H469" s="504"/>
      <c r="I469" s="506">
        <f t="shared" ref="I469:N469" si="107">SUM(I470:I476)</f>
        <v>396200</v>
      </c>
      <c r="J469" s="506">
        <f t="shared" si="107"/>
        <v>0</v>
      </c>
      <c r="K469" s="506">
        <f t="shared" si="107"/>
        <v>396200</v>
      </c>
      <c r="L469" s="507">
        <f t="shared" si="107"/>
        <v>396200</v>
      </c>
      <c r="M469" s="507">
        <f t="shared" si="107"/>
        <v>0</v>
      </c>
      <c r="N469" s="507">
        <f t="shared" si="107"/>
        <v>396200</v>
      </c>
      <c r="O469" s="508"/>
      <c r="P469" s="508"/>
      <c r="Q469" s="623"/>
      <c r="R469" s="508"/>
      <c r="S469" s="508"/>
      <c r="T469" s="509"/>
    </row>
    <row r="470" spans="1:20" ht="39.950000000000003" hidden="1" customHeight="1">
      <c r="A470" s="125" t="s">
        <v>487</v>
      </c>
      <c r="B470" s="239"/>
      <c r="C470" s="253" t="s">
        <v>488</v>
      </c>
      <c r="D470" s="228">
        <v>112</v>
      </c>
      <c r="E470" s="229">
        <v>108288</v>
      </c>
      <c r="F470" s="230" t="s">
        <v>0</v>
      </c>
      <c r="G470" s="237" t="s">
        <v>491</v>
      </c>
      <c r="H470" s="170">
        <v>313</v>
      </c>
      <c r="I470" s="386">
        <f t="shared" ref="I470:I476" si="108">INT(L470*$Q$139)</f>
        <v>0</v>
      </c>
      <c r="J470" s="386">
        <f t="shared" ref="J470:J476" si="109">INT(M470*$R$139)</f>
        <v>0</v>
      </c>
      <c r="K470" s="386">
        <f t="shared" ref="K470:K476" si="110">SUM(I470:J470)</f>
        <v>0</v>
      </c>
      <c r="L470" s="387">
        <v>0</v>
      </c>
      <c r="M470" s="387"/>
      <c r="N470" s="387">
        <f t="shared" ref="N470:N476" si="111">SUM(L470,M470)</f>
        <v>0</v>
      </c>
    </row>
    <row r="471" spans="1:20" ht="39.950000000000003" hidden="1" customHeight="1">
      <c r="A471" s="125" t="s">
        <v>489</v>
      </c>
      <c r="B471" s="239"/>
      <c r="C471" s="253" t="s">
        <v>490</v>
      </c>
      <c r="D471" s="228">
        <v>112</v>
      </c>
      <c r="E471" s="229">
        <v>108288</v>
      </c>
      <c r="F471" s="230" t="s">
        <v>0</v>
      </c>
      <c r="G471" s="237" t="s">
        <v>491</v>
      </c>
      <c r="H471" s="170">
        <v>29</v>
      </c>
      <c r="I471" s="386">
        <f t="shared" si="108"/>
        <v>0</v>
      </c>
      <c r="J471" s="386">
        <f t="shared" si="109"/>
        <v>0</v>
      </c>
      <c r="K471" s="386">
        <f t="shared" si="110"/>
        <v>0</v>
      </c>
      <c r="L471" s="387">
        <v>0</v>
      </c>
      <c r="M471" s="387"/>
      <c r="N471" s="387">
        <f t="shared" si="111"/>
        <v>0</v>
      </c>
    </row>
    <row r="472" spans="1:20" ht="39.950000000000003" hidden="1" customHeight="1">
      <c r="A472" s="125" t="s">
        <v>492</v>
      </c>
      <c r="B472" s="239"/>
      <c r="C472" s="253" t="s">
        <v>493</v>
      </c>
      <c r="D472" s="228">
        <v>112</v>
      </c>
      <c r="E472" s="229">
        <v>108288</v>
      </c>
      <c r="F472" s="230" t="s">
        <v>0</v>
      </c>
      <c r="G472" s="237" t="s">
        <v>145</v>
      </c>
      <c r="H472" s="170">
        <v>9</v>
      </c>
      <c r="I472" s="386">
        <f t="shared" si="108"/>
        <v>0</v>
      </c>
      <c r="J472" s="386">
        <f t="shared" si="109"/>
        <v>0</v>
      </c>
      <c r="K472" s="386">
        <f t="shared" si="110"/>
        <v>0</v>
      </c>
      <c r="L472" s="387">
        <v>0</v>
      </c>
      <c r="M472" s="387"/>
      <c r="N472" s="387">
        <f t="shared" si="111"/>
        <v>0</v>
      </c>
    </row>
    <row r="473" spans="1:20" ht="33" hidden="1">
      <c r="A473" s="273"/>
      <c r="B473" s="481" t="s">
        <v>1042</v>
      </c>
      <c r="C473" s="490" t="s">
        <v>950</v>
      </c>
      <c r="D473" s="483">
        <v>8100</v>
      </c>
      <c r="E473" s="492">
        <v>108288</v>
      </c>
      <c r="F473" s="524" t="s">
        <v>0</v>
      </c>
      <c r="G473" s="486" t="s">
        <v>145</v>
      </c>
      <c r="H473" s="487">
        <v>0.3</v>
      </c>
      <c r="I473" s="473">
        <f>INT(L473*$Q$139)</f>
        <v>76726</v>
      </c>
      <c r="J473" s="473">
        <f>INT(M473*$R$139)</f>
        <v>0</v>
      </c>
      <c r="K473" s="473">
        <f>SUM(I473:J473)</f>
        <v>76726</v>
      </c>
      <c r="L473" s="167">
        <v>76726</v>
      </c>
      <c r="M473" s="167"/>
      <c r="N473" s="167">
        <f>SUM(L473:M473)</f>
        <v>76726</v>
      </c>
      <c r="O473" s="405"/>
      <c r="P473" s="405"/>
    </row>
    <row r="474" spans="1:20" ht="33" hidden="1">
      <c r="A474" s="273"/>
      <c r="B474" s="481" t="s">
        <v>1096</v>
      </c>
      <c r="C474" s="490" t="s">
        <v>948</v>
      </c>
      <c r="D474" s="483">
        <v>8100</v>
      </c>
      <c r="E474" s="492">
        <v>108288</v>
      </c>
      <c r="F474" s="524" t="s">
        <v>0</v>
      </c>
      <c r="G474" s="486" t="s">
        <v>491</v>
      </c>
      <c r="H474" s="487">
        <v>0.3</v>
      </c>
      <c r="I474" s="473">
        <f t="shared" si="108"/>
        <v>90000</v>
      </c>
      <c r="J474" s="473">
        <f t="shared" si="109"/>
        <v>0</v>
      </c>
      <c r="K474" s="473">
        <f t="shared" si="110"/>
        <v>90000</v>
      </c>
      <c r="L474" s="167">
        <v>90000</v>
      </c>
      <c r="M474" s="167"/>
      <c r="N474" s="167">
        <f>SUM(L474:M474)</f>
        <v>90000</v>
      </c>
      <c r="O474" s="405"/>
      <c r="P474" s="405"/>
    </row>
    <row r="475" spans="1:20" ht="55.5" hidden="1">
      <c r="A475" s="273"/>
      <c r="B475" s="481" t="s">
        <v>1041</v>
      </c>
      <c r="C475" s="490" t="s">
        <v>949</v>
      </c>
      <c r="D475" s="483">
        <v>8100</v>
      </c>
      <c r="E475" s="492">
        <v>108288</v>
      </c>
      <c r="F475" s="524" t="s">
        <v>0</v>
      </c>
      <c r="G475" s="486" t="s">
        <v>947</v>
      </c>
      <c r="H475" s="487">
        <v>0.3</v>
      </c>
      <c r="I475" s="473">
        <f t="shared" si="108"/>
        <v>80000</v>
      </c>
      <c r="J475" s="473">
        <f t="shared" si="109"/>
        <v>0</v>
      </c>
      <c r="K475" s="473">
        <f t="shared" si="110"/>
        <v>80000</v>
      </c>
      <c r="L475" s="167">
        <v>80000</v>
      </c>
      <c r="M475" s="167"/>
      <c r="N475" s="167">
        <f>SUM(L475:M475)</f>
        <v>80000</v>
      </c>
      <c r="O475" s="405"/>
      <c r="P475" s="405"/>
    </row>
    <row r="476" spans="1:20" ht="33" hidden="1">
      <c r="A476" s="273" t="s">
        <v>861</v>
      </c>
      <c r="B476" s="481" t="s">
        <v>1114</v>
      </c>
      <c r="C476" s="490" t="s">
        <v>808</v>
      </c>
      <c r="D476" s="483">
        <v>8100</v>
      </c>
      <c r="E476" s="492">
        <v>108288</v>
      </c>
      <c r="F476" s="524" t="s">
        <v>0</v>
      </c>
      <c r="G476" s="486" t="s">
        <v>1214</v>
      </c>
      <c r="H476" s="487">
        <v>0.6</v>
      </c>
      <c r="I476" s="473">
        <f t="shared" si="108"/>
        <v>149474</v>
      </c>
      <c r="J476" s="473">
        <f t="shared" si="109"/>
        <v>0</v>
      </c>
      <c r="K476" s="473">
        <f t="shared" si="110"/>
        <v>149474</v>
      </c>
      <c r="L476" s="167">
        <v>149474</v>
      </c>
      <c r="M476" s="167"/>
      <c r="N476" s="167">
        <f t="shared" si="111"/>
        <v>149474</v>
      </c>
      <c r="O476" s="405"/>
      <c r="P476" s="405"/>
    </row>
    <row r="477" spans="1:20" s="510" customFormat="1" ht="72" hidden="1" customHeight="1">
      <c r="A477" s="501"/>
      <c r="B477" s="502"/>
      <c r="C477" s="503" t="s">
        <v>278</v>
      </c>
      <c r="D477" s="504"/>
      <c r="E477" s="505"/>
      <c r="F477" s="504"/>
      <c r="G477" s="504"/>
      <c r="H477" s="504"/>
      <c r="I477" s="506">
        <f t="shared" ref="I477:N477" si="112">SUM(I478:I479)</f>
        <v>616226</v>
      </c>
      <c r="J477" s="506">
        <f t="shared" si="112"/>
        <v>0</v>
      </c>
      <c r="K477" s="506">
        <f t="shared" si="112"/>
        <v>616226</v>
      </c>
      <c r="L477" s="507">
        <f t="shared" si="112"/>
        <v>616226</v>
      </c>
      <c r="M477" s="507">
        <f t="shared" si="112"/>
        <v>0</v>
      </c>
      <c r="N477" s="507">
        <f t="shared" si="112"/>
        <v>616226</v>
      </c>
      <c r="O477" s="508"/>
      <c r="P477" s="508"/>
      <c r="Q477" s="623"/>
      <c r="R477" s="508"/>
      <c r="S477" s="508"/>
      <c r="T477" s="509"/>
    </row>
    <row r="478" spans="1:20" ht="38.25" hidden="1" customHeight="1">
      <c r="A478" s="273" t="s">
        <v>649</v>
      </c>
      <c r="B478" s="481" t="s">
        <v>1097</v>
      </c>
      <c r="C478" s="482" t="s">
        <v>810</v>
      </c>
      <c r="D478" s="483">
        <v>8100</v>
      </c>
      <c r="E478" s="484" t="s">
        <v>686</v>
      </c>
      <c r="F478" s="524" t="s">
        <v>0</v>
      </c>
      <c r="G478" s="488" t="s">
        <v>1215</v>
      </c>
      <c r="H478" s="489">
        <v>1315</v>
      </c>
      <c r="I478" s="473">
        <f>INT(L478*$Q$139)</f>
        <v>386226</v>
      </c>
      <c r="J478" s="473">
        <f>INT(M478*$R$139)</f>
        <v>0</v>
      </c>
      <c r="K478" s="473">
        <f>SUM(I478:J478)</f>
        <v>386226</v>
      </c>
      <c r="L478" s="167">
        <v>386226</v>
      </c>
      <c r="M478" s="167"/>
      <c r="N478" s="167">
        <f>SUM(L478:M478)</f>
        <v>386226</v>
      </c>
      <c r="O478" s="405"/>
      <c r="P478" s="405"/>
    </row>
    <row r="479" spans="1:20" ht="38.25" hidden="1" customHeight="1">
      <c r="A479" s="273" t="s">
        <v>871</v>
      </c>
      <c r="B479" s="481" t="s">
        <v>982</v>
      </c>
      <c r="C479" s="482" t="s">
        <v>1098</v>
      </c>
      <c r="D479" s="483">
        <v>8100</v>
      </c>
      <c r="E479" s="484" t="s">
        <v>686</v>
      </c>
      <c r="F479" s="524" t="s">
        <v>0</v>
      </c>
      <c r="G479" s="488" t="s">
        <v>1215</v>
      </c>
      <c r="H479" s="489">
        <v>45</v>
      </c>
      <c r="I479" s="473">
        <f>INT(L479*$Q$139)</f>
        <v>230000</v>
      </c>
      <c r="J479" s="473">
        <f>INT(M479*$R$139)</f>
        <v>0</v>
      </c>
      <c r="K479" s="473">
        <f>SUM(I479:J479)</f>
        <v>230000</v>
      </c>
      <c r="L479" s="167">
        <v>230000</v>
      </c>
      <c r="M479" s="167"/>
      <c r="N479" s="167">
        <f>SUM(L479:M479)</f>
        <v>230000</v>
      </c>
      <c r="O479" s="405"/>
      <c r="P479" s="405"/>
    </row>
    <row r="480" spans="1:20" ht="45" hidden="1" customHeight="1">
      <c r="A480" s="148"/>
      <c r="B480" s="138"/>
      <c r="C480" s="454" t="s">
        <v>274</v>
      </c>
      <c r="D480" s="454"/>
      <c r="E480" s="454"/>
      <c r="F480" s="455"/>
      <c r="G480" s="454"/>
      <c r="H480" s="456"/>
      <c r="I480" s="395">
        <f t="shared" ref="I480:N480" si="113">SUM(I481:I482)</f>
        <v>0</v>
      </c>
      <c r="J480" s="395">
        <f t="shared" si="113"/>
        <v>0</v>
      </c>
      <c r="K480" s="395">
        <f t="shared" si="113"/>
        <v>0</v>
      </c>
      <c r="L480" s="395">
        <f t="shared" si="113"/>
        <v>0</v>
      </c>
      <c r="M480" s="385">
        <f t="shared" si="113"/>
        <v>0</v>
      </c>
      <c r="N480" s="385">
        <f t="shared" si="113"/>
        <v>0</v>
      </c>
    </row>
    <row r="481" spans="1:20" ht="46.5" hidden="1" customHeight="1">
      <c r="A481" s="243" t="s">
        <v>848</v>
      </c>
      <c r="B481" s="243" t="s">
        <v>848</v>
      </c>
      <c r="C481" s="445" t="s">
        <v>291</v>
      </c>
      <c r="D481" s="437">
        <v>112</v>
      </c>
      <c r="E481" s="438" t="s">
        <v>795</v>
      </c>
      <c r="F481" s="439" t="s">
        <v>0</v>
      </c>
      <c r="G481" s="442" t="s">
        <v>223</v>
      </c>
      <c r="H481" s="440">
        <v>1</v>
      </c>
      <c r="I481" s="441">
        <f>INT(L481*$Q$139)</f>
        <v>0</v>
      </c>
      <c r="J481" s="441">
        <f>INT(M481*$R$139)</f>
        <v>0</v>
      </c>
      <c r="K481" s="441">
        <f>SUM(I481:J481)</f>
        <v>0</v>
      </c>
      <c r="L481" s="413"/>
      <c r="M481" s="387"/>
      <c r="N481" s="415">
        <f>SUM(L481,M481)</f>
        <v>0</v>
      </c>
    </row>
    <row r="482" spans="1:20" ht="62.25" hidden="1" customHeight="1">
      <c r="A482" s="252" t="s">
        <v>847</v>
      </c>
      <c r="B482" s="252" t="s">
        <v>847</v>
      </c>
      <c r="C482" s="444" t="s">
        <v>809</v>
      </c>
      <c r="D482" s="437">
        <v>112</v>
      </c>
      <c r="E482" s="438" t="s">
        <v>795</v>
      </c>
      <c r="F482" s="439" t="s">
        <v>0</v>
      </c>
      <c r="G482" s="442" t="s">
        <v>223</v>
      </c>
      <c r="H482" s="440">
        <v>1</v>
      </c>
      <c r="I482" s="441">
        <f>INT(L482*$Q$139)</f>
        <v>0</v>
      </c>
      <c r="J482" s="441">
        <f>INT(M482*$R$139)</f>
        <v>0</v>
      </c>
      <c r="K482" s="441">
        <f>SUM(I482:J482)</f>
        <v>0</v>
      </c>
      <c r="L482" s="413"/>
      <c r="M482" s="387"/>
      <c r="N482" s="415">
        <f>SUM(L482,M482)</f>
        <v>0</v>
      </c>
    </row>
    <row r="483" spans="1:20" s="510" customFormat="1" ht="72" hidden="1" customHeight="1">
      <c r="A483" s="501"/>
      <c r="B483" s="502"/>
      <c r="C483" s="503" t="s">
        <v>830</v>
      </c>
      <c r="D483" s="504"/>
      <c r="E483" s="505"/>
      <c r="F483" s="504"/>
      <c r="G483" s="504"/>
      <c r="H483" s="504"/>
      <c r="I483" s="506">
        <f t="shared" ref="I483:N483" si="114">SUM(I484:I485)</f>
        <v>10000</v>
      </c>
      <c r="J483" s="506">
        <f t="shared" si="114"/>
        <v>0</v>
      </c>
      <c r="K483" s="506">
        <f t="shared" si="114"/>
        <v>10000</v>
      </c>
      <c r="L483" s="507">
        <f t="shared" si="114"/>
        <v>10000</v>
      </c>
      <c r="M483" s="507">
        <f t="shared" si="114"/>
        <v>0</v>
      </c>
      <c r="N483" s="507">
        <f t="shared" si="114"/>
        <v>10000</v>
      </c>
      <c r="O483" s="508"/>
      <c r="P483" s="508"/>
      <c r="Q483" s="623"/>
      <c r="R483" s="508"/>
      <c r="S483" s="508"/>
      <c r="T483" s="509"/>
    </row>
    <row r="484" spans="1:20" ht="46.5" hidden="1" customHeight="1">
      <c r="A484" s="125" t="s">
        <v>290</v>
      </c>
      <c r="B484" s="481" t="s">
        <v>1118</v>
      </c>
      <c r="C484" s="482" t="s">
        <v>831</v>
      </c>
      <c r="D484" s="483">
        <v>8100</v>
      </c>
      <c r="E484" s="484" t="s">
        <v>801</v>
      </c>
      <c r="F484" s="524" t="s">
        <v>0</v>
      </c>
      <c r="G484" s="486" t="s">
        <v>491</v>
      </c>
      <c r="H484" s="489">
        <v>1</v>
      </c>
      <c r="I484" s="473">
        <f>INT(L484*$Q$139)</f>
        <v>10000</v>
      </c>
      <c r="J484" s="473">
        <f>INT(M484*$R$139)</f>
        <v>0</v>
      </c>
      <c r="K484" s="473">
        <f>SUM(I484:J484)</f>
        <v>10000</v>
      </c>
      <c r="L484" s="469">
        <v>10000</v>
      </c>
      <c r="M484" s="469"/>
      <c r="N484" s="469">
        <f>SUM(L484,M484)</f>
        <v>10000</v>
      </c>
    </row>
    <row r="485" spans="1:20" ht="39.950000000000003" hidden="1" customHeight="1">
      <c r="A485" s="14"/>
      <c r="B485" s="244"/>
      <c r="C485" s="254"/>
      <c r="D485" s="254"/>
      <c r="E485" s="254"/>
      <c r="F485" s="244"/>
      <c r="G485" s="244"/>
      <c r="H485" s="244"/>
      <c r="I485" s="394"/>
      <c r="J485" s="394"/>
      <c r="K485" s="394"/>
      <c r="L485" s="417"/>
      <c r="M485" s="417"/>
      <c r="N485" s="417"/>
    </row>
    <row r="486" spans="1:20" s="472" customFormat="1" ht="45" hidden="1" customHeight="1">
      <c r="A486" s="478" t="s">
        <v>200</v>
      </c>
      <c r="B486" s="1263" t="s">
        <v>200</v>
      </c>
      <c r="C486" s="1264"/>
      <c r="D486" s="1264"/>
      <c r="E486" s="1264"/>
      <c r="F486" s="1264"/>
      <c r="G486" s="1264"/>
      <c r="H486" s="1265"/>
      <c r="I486" s="479">
        <f t="shared" ref="I486:N486" si="115">SUM(I469,I477,I480,I483)</f>
        <v>1022426</v>
      </c>
      <c r="J486" s="479">
        <f t="shared" si="115"/>
        <v>0</v>
      </c>
      <c r="K486" s="479">
        <f t="shared" si="115"/>
        <v>1022426</v>
      </c>
      <c r="L486" s="480">
        <f t="shared" si="115"/>
        <v>1022426</v>
      </c>
      <c r="M486" s="480">
        <f t="shared" si="115"/>
        <v>0</v>
      </c>
      <c r="N486" s="480">
        <f t="shared" si="115"/>
        <v>1022426</v>
      </c>
      <c r="O486" s="470"/>
      <c r="P486" s="470"/>
      <c r="Q486" s="622"/>
      <c r="R486" s="470"/>
      <c r="S486" s="470"/>
      <c r="T486" s="471"/>
    </row>
    <row r="487" spans="1:20" ht="66" hidden="1" customHeight="1">
      <c r="A487" s="25" t="s">
        <v>537</v>
      </c>
      <c r="B487" s="1287" t="s">
        <v>1283</v>
      </c>
      <c r="C487" s="1287"/>
      <c r="D487" s="1287"/>
      <c r="E487" s="1287"/>
      <c r="F487" s="1287"/>
      <c r="G487" s="1287"/>
      <c r="H487" s="1287"/>
      <c r="I487" s="1287"/>
      <c r="J487" s="1287"/>
      <c r="K487" s="1287"/>
      <c r="L487" s="338"/>
      <c r="M487" s="338"/>
      <c r="N487" s="338"/>
    </row>
    <row r="488" spans="1:20" ht="39.950000000000003" hidden="1" customHeight="1" thickBot="1">
      <c r="A488" s="50"/>
      <c r="B488" s="50"/>
      <c r="C488" s="43"/>
      <c r="D488" s="43"/>
      <c r="E488" s="43"/>
      <c r="F488" s="93"/>
      <c r="H488" s="43"/>
      <c r="I488" s="43"/>
      <c r="J488" s="43"/>
      <c r="K488" s="43"/>
      <c r="L488" s="93"/>
      <c r="M488" s="50"/>
      <c r="N488" s="43"/>
    </row>
    <row r="489" spans="1:20" ht="27.75" hidden="1" customHeight="1">
      <c r="C489" s="1204" t="s">
        <v>51</v>
      </c>
      <c r="D489" s="1204"/>
      <c r="E489" s="1204"/>
      <c r="F489" s="1204"/>
      <c r="H489" s="1243" t="s">
        <v>11</v>
      </c>
      <c r="I489" s="1244"/>
      <c r="J489" s="1244"/>
      <c r="K489" s="1245"/>
      <c r="L489" s="337"/>
      <c r="M489" s="337"/>
      <c r="N489" s="337"/>
    </row>
    <row r="490" spans="1:20" ht="27.75" hidden="1" customHeight="1">
      <c r="C490" s="1204" t="s">
        <v>52</v>
      </c>
      <c r="D490" s="1204"/>
      <c r="E490" s="1204"/>
      <c r="F490" s="1204"/>
      <c r="H490" s="1208" t="s">
        <v>102</v>
      </c>
      <c r="I490" s="1209"/>
      <c r="J490" s="1209"/>
      <c r="K490" s="1210"/>
      <c r="L490" s="336"/>
      <c r="M490" s="336"/>
      <c r="N490" s="336"/>
    </row>
    <row r="491" spans="1:20" ht="39.75" hidden="1" customHeight="1">
      <c r="C491" s="1204" t="s">
        <v>50</v>
      </c>
      <c r="D491" s="1204"/>
      <c r="E491" s="1204"/>
      <c r="F491" s="1204"/>
      <c r="G491" s="44"/>
      <c r="H491" s="1211"/>
      <c r="I491" s="1212"/>
      <c r="J491" s="1212"/>
      <c r="K491" s="1213"/>
      <c r="L491" s="336"/>
      <c r="M491" s="336"/>
      <c r="N491" s="336"/>
    </row>
    <row r="492" spans="1:20" ht="43.5" hidden="1" customHeight="1">
      <c r="C492" s="1275"/>
      <c r="D492" s="1275"/>
      <c r="E492" s="1275"/>
      <c r="F492" s="1275"/>
      <c r="G492" s="44"/>
      <c r="H492" s="1211" t="s">
        <v>22</v>
      </c>
      <c r="I492" s="1212"/>
      <c r="J492" s="1212"/>
      <c r="K492" s="477">
        <f>K520</f>
        <v>6940463</v>
      </c>
      <c r="L492" s="336"/>
      <c r="M492" s="336"/>
      <c r="N492" s="86"/>
    </row>
    <row r="493" spans="1:20" ht="54.75" hidden="1" customHeight="1" thickBot="1">
      <c r="A493" s="75"/>
      <c r="B493" s="75"/>
      <c r="C493" s="65"/>
      <c r="D493" s="65"/>
      <c r="E493" s="65"/>
      <c r="F493" s="10"/>
      <c r="G493" s="10"/>
      <c r="H493" s="1283" t="s">
        <v>13</v>
      </c>
      <c r="I493" s="1284"/>
      <c r="J493" s="1284"/>
      <c r="K493" s="1285"/>
      <c r="L493" s="336"/>
      <c r="M493" s="336"/>
      <c r="N493" s="336"/>
    </row>
    <row r="494" spans="1:20" ht="17.100000000000001" hidden="1" customHeight="1">
      <c r="A494" s="75"/>
      <c r="B494" s="75"/>
      <c r="C494" s="65"/>
      <c r="D494" s="65"/>
      <c r="E494" s="65"/>
      <c r="F494" s="10"/>
      <c r="G494" s="10"/>
      <c r="H494" s="20"/>
      <c r="I494" s="20"/>
      <c r="J494" s="20"/>
      <c r="K494" s="20"/>
      <c r="L494" s="20"/>
      <c r="M494" s="20"/>
      <c r="N494" s="20"/>
    </row>
    <row r="495" spans="1:20" ht="44.25" hidden="1" customHeight="1">
      <c r="A495" s="346" t="s">
        <v>1057</v>
      </c>
      <c r="B495" s="1226" t="s">
        <v>1058</v>
      </c>
      <c r="C495" s="1226"/>
      <c r="D495" s="1226"/>
      <c r="E495" s="1226"/>
      <c r="F495" s="1226"/>
      <c r="G495" s="1226"/>
      <c r="H495" s="1226"/>
      <c r="I495" s="1226"/>
      <c r="J495" s="1226"/>
      <c r="K495" s="1226"/>
      <c r="L495" s="346"/>
      <c r="M495" s="346"/>
      <c r="N495" s="346"/>
      <c r="O495" s="27"/>
      <c r="P495" s="27"/>
      <c r="Q495" s="620"/>
      <c r="R495" s="27"/>
      <c r="S495" s="27"/>
      <c r="T495" s="27"/>
    </row>
    <row r="496" spans="1:20" ht="20.100000000000001" hidden="1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</row>
    <row r="497" spans="1:20" s="500" customFormat="1" ht="90" hidden="1">
      <c r="A497" s="496" t="s">
        <v>14</v>
      </c>
      <c r="B497" s="497" t="s">
        <v>14</v>
      </c>
      <c r="C497" s="497" t="s">
        <v>37</v>
      </c>
      <c r="D497" s="497" t="s">
        <v>440</v>
      </c>
      <c r="E497" s="497" t="s">
        <v>16</v>
      </c>
      <c r="F497" s="497" t="s">
        <v>185</v>
      </c>
      <c r="G497" s="497" t="s">
        <v>178</v>
      </c>
      <c r="H497" s="497" t="s">
        <v>179</v>
      </c>
      <c r="I497" s="497" t="s">
        <v>180</v>
      </c>
      <c r="J497" s="497" t="s">
        <v>181</v>
      </c>
      <c r="K497" s="497" t="s">
        <v>200</v>
      </c>
      <c r="L497" s="496" t="s">
        <v>180</v>
      </c>
      <c r="M497" s="496" t="s">
        <v>181</v>
      </c>
      <c r="N497" s="496" t="s">
        <v>200</v>
      </c>
      <c r="O497" s="498"/>
      <c r="P497" s="498"/>
      <c r="Q497" s="622"/>
      <c r="R497" s="498"/>
      <c r="S497" s="498"/>
      <c r="T497" s="499"/>
    </row>
    <row r="498" spans="1:20" s="510" customFormat="1" ht="72" hidden="1" customHeight="1">
      <c r="A498" s="501"/>
      <c r="B498" s="502"/>
      <c r="C498" s="503" t="s">
        <v>292</v>
      </c>
      <c r="D498" s="504"/>
      <c r="E498" s="505"/>
      <c r="F498" s="504"/>
      <c r="G498" s="504"/>
      <c r="H498" s="504"/>
      <c r="I498" s="506">
        <f>SUM(I499:I511)</f>
        <v>4594815</v>
      </c>
      <c r="J498" s="506">
        <f>SUM(J499:J511)</f>
        <v>2000000</v>
      </c>
      <c r="K498" s="506">
        <f>I498+J498</f>
        <v>6594815</v>
      </c>
      <c r="L498" s="507">
        <f>SUM(L499:L511)</f>
        <v>4594815</v>
      </c>
      <c r="M498" s="507">
        <f>SUM(M499:M511)</f>
        <v>2000000</v>
      </c>
      <c r="N498" s="507">
        <f>L498+M498</f>
        <v>6594815</v>
      </c>
      <c r="O498" s="508"/>
      <c r="P498" s="508"/>
      <c r="Q498" s="623"/>
      <c r="R498" s="508"/>
      <c r="S498" s="508"/>
      <c r="T498" s="509"/>
    </row>
    <row r="499" spans="1:20" ht="38.25" hidden="1" customHeight="1">
      <c r="A499" s="273" t="s">
        <v>597</v>
      </c>
      <c r="B499" s="481" t="s">
        <v>983</v>
      </c>
      <c r="C499" s="482" t="s">
        <v>387</v>
      </c>
      <c r="D499" s="483">
        <v>8100</v>
      </c>
      <c r="E499" s="484">
        <v>108288</v>
      </c>
      <c r="F499" s="524" t="s">
        <v>190</v>
      </c>
      <c r="G499" s="488" t="s">
        <v>224</v>
      </c>
      <c r="H499" s="489">
        <v>48</v>
      </c>
      <c r="I499" s="473">
        <f t="shared" ref="I499:I510" si="116">INT(L499*$Q$139)</f>
        <v>980000</v>
      </c>
      <c r="J499" s="473">
        <f t="shared" ref="J499:J510" si="117">INT(M499*$R$139)</f>
        <v>0</v>
      </c>
      <c r="K499" s="473">
        <f t="shared" ref="K499:K510" si="118">SUM(I499:J499)</f>
        <v>980000</v>
      </c>
      <c r="L499" s="167">
        <v>980000</v>
      </c>
      <c r="M499" s="167"/>
      <c r="N499" s="167">
        <f>SUM(L499,M499)</f>
        <v>980000</v>
      </c>
      <c r="O499" s="405">
        <f>L499-I499</f>
        <v>0</v>
      </c>
      <c r="P499" s="405"/>
    </row>
    <row r="500" spans="1:20" ht="60.75" hidden="1" customHeight="1">
      <c r="A500" s="273" t="s">
        <v>598</v>
      </c>
      <c r="B500" s="481" t="s">
        <v>984</v>
      </c>
      <c r="C500" s="490" t="s">
        <v>522</v>
      </c>
      <c r="D500" s="483">
        <v>8100</v>
      </c>
      <c r="E500" s="484">
        <v>108288</v>
      </c>
      <c r="F500" s="524" t="s">
        <v>190</v>
      </c>
      <c r="G500" s="490" t="s">
        <v>225</v>
      </c>
      <c r="H500" s="489">
        <v>1</v>
      </c>
      <c r="I500" s="473">
        <f t="shared" si="116"/>
        <v>20000</v>
      </c>
      <c r="J500" s="473">
        <f t="shared" si="117"/>
        <v>0</v>
      </c>
      <c r="K500" s="473">
        <f t="shared" si="118"/>
        <v>20000</v>
      </c>
      <c r="L500" s="167">
        <v>20000</v>
      </c>
      <c r="M500" s="167"/>
      <c r="N500" s="167">
        <f t="shared" ref="N500:N514" si="119">SUM(L500,M500)</f>
        <v>20000</v>
      </c>
      <c r="O500" s="405"/>
      <c r="P500" s="405"/>
    </row>
    <row r="501" spans="1:20" ht="38.25" hidden="1" customHeight="1">
      <c r="A501" s="273" t="s">
        <v>599</v>
      </c>
      <c r="B501" s="481" t="s">
        <v>1132</v>
      </c>
      <c r="C501" s="482" t="s">
        <v>226</v>
      </c>
      <c r="D501" s="483">
        <v>8100</v>
      </c>
      <c r="E501" s="484">
        <v>108288</v>
      </c>
      <c r="F501" s="524" t="s">
        <v>190</v>
      </c>
      <c r="G501" s="488" t="s">
        <v>215</v>
      </c>
      <c r="H501" s="489">
        <v>15</v>
      </c>
      <c r="I501" s="473">
        <f t="shared" si="116"/>
        <v>36000</v>
      </c>
      <c r="J501" s="473">
        <f t="shared" si="117"/>
        <v>0</v>
      </c>
      <c r="K501" s="473">
        <f t="shared" si="118"/>
        <v>36000</v>
      </c>
      <c r="L501" s="167">
        <f>[1]PROEG!$S$20</f>
        <v>36000</v>
      </c>
      <c r="M501" s="167"/>
      <c r="N501" s="167">
        <f t="shared" si="119"/>
        <v>36000</v>
      </c>
      <c r="O501" s="405"/>
      <c r="P501" s="405"/>
    </row>
    <row r="502" spans="1:20" ht="54.75" hidden="1" customHeight="1">
      <c r="A502" s="273" t="s">
        <v>601</v>
      </c>
      <c r="B502" s="481" t="s">
        <v>985</v>
      </c>
      <c r="C502" s="482" t="s">
        <v>293</v>
      </c>
      <c r="D502" s="483">
        <v>8100</v>
      </c>
      <c r="E502" s="484">
        <v>108288</v>
      </c>
      <c r="F502" s="524" t="s">
        <v>190</v>
      </c>
      <c r="G502" s="488" t="s">
        <v>225</v>
      </c>
      <c r="H502" s="489">
        <v>30</v>
      </c>
      <c r="I502" s="473">
        <f t="shared" si="116"/>
        <v>135416</v>
      </c>
      <c r="J502" s="473">
        <f t="shared" si="117"/>
        <v>0</v>
      </c>
      <c r="K502" s="473">
        <f t="shared" si="118"/>
        <v>135416</v>
      </c>
      <c r="L502" s="167">
        <f>[1]PROEG!$S$21</f>
        <v>135416</v>
      </c>
      <c r="M502" s="167"/>
      <c r="N502" s="167">
        <f t="shared" si="119"/>
        <v>135416</v>
      </c>
      <c r="O502" s="405"/>
      <c r="P502" s="405"/>
    </row>
    <row r="503" spans="1:20" ht="60.75" hidden="1" customHeight="1">
      <c r="A503" s="273" t="s">
        <v>600</v>
      </c>
      <c r="B503" s="481" t="s">
        <v>1133</v>
      </c>
      <c r="C503" s="482" t="s">
        <v>228</v>
      </c>
      <c r="D503" s="483">
        <v>8100</v>
      </c>
      <c r="E503" s="484">
        <v>108288</v>
      </c>
      <c r="F503" s="524" t="s">
        <v>190</v>
      </c>
      <c r="G503" s="488" t="s">
        <v>225</v>
      </c>
      <c r="H503" s="489">
        <v>4</v>
      </c>
      <c r="I503" s="473">
        <f t="shared" si="116"/>
        <v>90000</v>
      </c>
      <c r="J503" s="473">
        <f t="shared" si="117"/>
        <v>0</v>
      </c>
      <c r="K503" s="473">
        <f t="shared" si="118"/>
        <v>90000</v>
      </c>
      <c r="L503" s="167">
        <f>[1]PROEG!$S$23</f>
        <v>90000</v>
      </c>
      <c r="M503" s="167"/>
      <c r="N503" s="167">
        <f t="shared" si="119"/>
        <v>90000</v>
      </c>
      <c r="O503" s="405"/>
      <c r="P503" s="405"/>
    </row>
    <row r="504" spans="1:20" ht="35.25" hidden="1" customHeight="1">
      <c r="A504" s="273" t="s">
        <v>602</v>
      </c>
      <c r="B504" s="481" t="s">
        <v>1134</v>
      </c>
      <c r="C504" s="490" t="s">
        <v>227</v>
      </c>
      <c r="D504" s="483">
        <v>8100</v>
      </c>
      <c r="E504" s="492">
        <v>108288</v>
      </c>
      <c r="F504" s="524" t="s">
        <v>190</v>
      </c>
      <c r="G504" s="486" t="s">
        <v>215</v>
      </c>
      <c r="H504" s="487">
        <v>1</v>
      </c>
      <c r="I504" s="473">
        <f t="shared" si="116"/>
        <v>90000</v>
      </c>
      <c r="J504" s="473">
        <f t="shared" si="117"/>
        <v>0</v>
      </c>
      <c r="K504" s="473">
        <f t="shared" si="118"/>
        <v>90000</v>
      </c>
      <c r="L504" s="167">
        <f>[1]PROEG!$S$23</f>
        <v>90000</v>
      </c>
      <c r="M504" s="167"/>
      <c r="N504" s="167">
        <f t="shared" si="119"/>
        <v>90000</v>
      </c>
      <c r="O504" s="405"/>
      <c r="P504" s="405"/>
    </row>
    <row r="505" spans="1:20" ht="37.5" hidden="1" customHeight="1">
      <c r="A505" s="273" t="s">
        <v>603</v>
      </c>
      <c r="B505" s="481" t="s">
        <v>1135</v>
      </c>
      <c r="C505" s="490" t="s">
        <v>239</v>
      </c>
      <c r="D505" s="483">
        <v>8100</v>
      </c>
      <c r="E505" s="492">
        <v>108288</v>
      </c>
      <c r="F505" s="524" t="s">
        <v>190</v>
      </c>
      <c r="G505" s="486" t="s">
        <v>215</v>
      </c>
      <c r="H505" s="487">
        <v>0.6</v>
      </c>
      <c r="I505" s="473">
        <f t="shared" si="116"/>
        <v>54000</v>
      </c>
      <c r="J505" s="473">
        <f t="shared" si="117"/>
        <v>0</v>
      </c>
      <c r="K505" s="473">
        <f t="shared" si="118"/>
        <v>54000</v>
      </c>
      <c r="L505" s="167">
        <v>54000</v>
      </c>
      <c r="M505" s="167"/>
      <c r="N505" s="167">
        <f t="shared" si="119"/>
        <v>54000</v>
      </c>
      <c r="O505" s="405"/>
      <c r="P505" s="405"/>
    </row>
    <row r="506" spans="1:20" ht="38.25" hidden="1" customHeight="1">
      <c r="A506" s="273" t="s">
        <v>604</v>
      </c>
      <c r="B506" s="481" t="s">
        <v>986</v>
      </c>
      <c r="C506" s="482" t="s">
        <v>294</v>
      </c>
      <c r="D506" s="483">
        <v>8100</v>
      </c>
      <c r="E506" s="484">
        <v>108288</v>
      </c>
      <c r="F506" s="524" t="s">
        <v>190</v>
      </c>
      <c r="G506" s="488" t="s">
        <v>215</v>
      </c>
      <c r="H506" s="489">
        <v>110</v>
      </c>
      <c r="I506" s="473">
        <f t="shared" si="116"/>
        <v>135000</v>
      </c>
      <c r="J506" s="473">
        <f t="shared" si="117"/>
        <v>0</v>
      </c>
      <c r="K506" s="473">
        <f t="shared" si="118"/>
        <v>135000</v>
      </c>
      <c r="L506" s="167">
        <f>[1]PROEG!$S$25</f>
        <v>135000</v>
      </c>
      <c r="M506" s="167"/>
      <c r="N506" s="167">
        <f t="shared" si="119"/>
        <v>135000</v>
      </c>
      <c r="O506" s="405">
        <f>L506-I506</f>
        <v>0</v>
      </c>
      <c r="P506" s="405"/>
    </row>
    <row r="507" spans="1:20" ht="38.25" hidden="1" customHeight="1">
      <c r="A507" s="273" t="s">
        <v>605</v>
      </c>
      <c r="B507" s="481" t="s">
        <v>987</v>
      </c>
      <c r="C507" s="482" t="s">
        <v>449</v>
      </c>
      <c r="D507" s="483">
        <v>8100</v>
      </c>
      <c r="E507" s="484">
        <v>108288</v>
      </c>
      <c r="F507" s="524" t="s">
        <v>190</v>
      </c>
      <c r="G507" s="488" t="s">
        <v>224</v>
      </c>
      <c r="H507" s="489">
        <v>120</v>
      </c>
      <c r="I507" s="473">
        <f t="shared" si="116"/>
        <v>480916</v>
      </c>
      <c r="J507" s="473">
        <f t="shared" si="117"/>
        <v>0</v>
      </c>
      <c r="K507" s="473">
        <f t="shared" si="118"/>
        <v>480916</v>
      </c>
      <c r="L507" s="167">
        <v>480916</v>
      </c>
      <c r="M507" s="167"/>
      <c r="N507" s="167">
        <f t="shared" si="119"/>
        <v>480916</v>
      </c>
      <c r="O507" s="405">
        <f>L507-I507</f>
        <v>0</v>
      </c>
      <c r="P507" s="405"/>
    </row>
    <row r="508" spans="1:20" ht="63.75" hidden="1" customHeight="1">
      <c r="A508" s="273" t="s">
        <v>606</v>
      </c>
      <c r="B508" s="481" t="s">
        <v>988</v>
      </c>
      <c r="C508" s="490" t="s">
        <v>388</v>
      </c>
      <c r="D508" s="483">
        <v>8100</v>
      </c>
      <c r="E508" s="484">
        <v>108288</v>
      </c>
      <c r="F508" s="524" t="s">
        <v>190</v>
      </c>
      <c r="G508" s="488" t="s">
        <v>224</v>
      </c>
      <c r="H508" s="489">
        <v>45</v>
      </c>
      <c r="I508" s="473">
        <f t="shared" si="116"/>
        <v>480000</v>
      </c>
      <c r="J508" s="473">
        <f t="shared" si="117"/>
        <v>0</v>
      </c>
      <c r="K508" s="473">
        <f t="shared" si="118"/>
        <v>480000</v>
      </c>
      <c r="L508" s="167">
        <v>480000</v>
      </c>
      <c r="M508" s="167"/>
      <c r="N508" s="167">
        <f t="shared" si="119"/>
        <v>480000</v>
      </c>
      <c r="O508" s="405">
        <f>L508-I508</f>
        <v>0</v>
      </c>
      <c r="P508" s="405"/>
    </row>
    <row r="509" spans="1:20" ht="68.25" hidden="1" customHeight="1">
      <c r="A509" s="273" t="s">
        <v>607</v>
      </c>
      <c r="B509" s="481" t="s">
        <v>989</v>
      </c>
      <c r="C509" s="490" t="s">
        <v>389</v>
      </c>
      <c r="D509" s="483">
        <v>8100</v>
      </c>
      <c r="E509" s="484">
        <v>108288</v>
      </c>
      <c r="F509" s="524" t="s">
        <v>190</v>
      </c>
      <c r="G509" s="488" t="s">
        <v>225</v>
      </c>
      <c r="H509" s="489">
        <v>1</v>
      </c>
      <c r="I509" s="473">
        <f t="shared" si="116"/>
        <v>20000</v>
      </c>
      <c r="J509" s="473">
        <f t="shared" si="117"/>
        <v>0</v>
      </c>
      <c r="K509" s="473">
        <f t="shared" si="118"/>
        <v>20000</v>
      </c>
      <c r="L509" s="167">
        <f>[1]PROEG!$S$28</f>
        <v>20000</v>
      </c>
      <c r="M509" s="167"/>
      <c r="N509" s="167">
        <f t="shared" si="119"/>
        <v>20000</v>
      </c>
      <c r="O509" s="405"/>
      <c r="P509" s="405"/>
    </row>
    <row r="510" spans="1:20" ht="38.25" hidden="1" customHeight="1">
      <c r="A510" s="273" t="s">
        <v>608</v>
      </c>
      <c r="B510" s="481" t="s">
        <v>990</v>
      </c>
      <c r="C510" s="482" t="s">
        <v>1102</v>
      </c>
      <c r="D510" s="483">
        <v>8100</v>
      </c>
      <c r="E510" s="484">
        <v>108288</v>
      </c>
      <c r="F510" s="524" t="s">
        <v>190</v>
      </c>
      <c r="G510" s="488" t="s">
        <v>215</v>
      </c>
      <c r="H510" s="487">
        <v>1</v>
      </c>
      <c r="I510" s="473">
        <f t="shared" si="116"/>
        <v>73483</v>
      </c>
      <c r="J510" s="473">
        <f t="shared" si="117"/>
        <v>0</v>
      </c>
      <c r="K510" s="473">
        <f t="shared" si="118"/>
        <v>73483</v>
      </c>
      <c r="L510" s="167">
        <f>253483+220000-400000</f>
        <v>73483</v>
      </c>
      <c r="M510" s="167"/>
      <c r="N510" s="167">
        <f t="shared" si="119"/>
        <v>73483</v>
      </c>
      <c r="O510" s="405"/>
      <c r="P510" s="405"/>
    </row>
    <row r="511" spans="1:20" ht="38.25" hidden="1" customHeight="1">
      <c r="A511" s="273" t="s">
        <v>898</v>
      </c>
      <c r="B511" s="481" t="s">
        <v>1115</v>
      </c>
      <c r="C511" s="482" t="s">
        <v>1280</v>
      </c>
      <c r="D511" s="483">
        <v>8100</v>
      </c>
      <c r="E511" s="484">
        <v>108288</v>
      </c>
      <c r="F511" s="524" t="s">
        <v>190</v>
      </c>
      <c r="G511" s="488" t="s">
        <v>224</v>
      </c>
      <c r="H511" s="489">
        <v>12</v>
      </c>
      <c r="I511" s="473">
        <f>INT(L511*$Q$139)</f>
        <v>2000000</v>
      </c>
      <c r="J511" s="473">
        <f>INT(M511*$R$139)</f>
        <v>2000000</v>
      </c>
      <c r="K511" s="473">
        <f>SUM(I511:J511)</f>
        <v>4000000</v>
      </c>
      <c r="L511" s="167">
        <f>999999+1000001</f>
        <v>2000000</v>
      </c>
      <c r="M511" s="167">
        <v>2000000</v>
      </c>
      <c r="N511" s="167">
        <f t="shared" si="119"/>
        <v>4000000</v>
      </c>
      <c r="O511" s="405"/>
      <c r="P511" s="405"/>
    </row>
    <row r="512" spans="1:20" ht="45" hidden="1" customHeight="1">
      <c r="A512" s="148"/>
      <c r="B512" s="138"/>
      <c r="C512" s="139" t="s">
        <v>274</v>
      </c>
      <c r="D512" s="483">
        <v>100</v>
      </c>
      <c r="E512" s="139"/>
      <c r="F512" s="138"/>
      <c r="G512" s="139"/>
      <c r="H512" s="140"/>
      <c r="I512" s="441">
        <f>INT(L512*$Q$139)</f>
        <v>0</v>
      </c>
      <c r="J512" s="441">
        <f>INT(M512*$R$139)</f>
        <v>0</v>
      </c>
      <c r="K512" s="441">
        <f>SUM(I512:J512)</f>
        <v>0</v>
      </c>
      <c r="L512" s="385">
        <f>SUM(L513:L514)</f>
        <v>0</v>
      </c>
      <c r="M512" s="385">
        <f>SUM(M513:M514)</f>
        <v>0</v>
      </c>
      <c r="N512" s="414">
        <f t="shared" si="119"/>
        <v>0</v>
      </c>
      <c r="Q512" s="620"/>
      <c r="R512" s="27"/>
      <c r="S512" s="27"/>
      <c r="T512" s="27"/>
    </row>
    <row r="513" spans="1:20" ht="39.75" hidden="1" customHeight="1">
      <c r="A513" s="252" t="s">
        <v>847</v>
      </c>
      <c r="B513" s="252" t="s">
        <v>847</v>
      </c>
      <c r="C513" s="127" t="s">
        <v>390</v>
      </c>
      <c r="D513" s="483">
        <v>100</v>
      </c>
      <c r="E513" s="229" t="s">
        <v>795</v>
      </c>
      <c r="F513" s="126" t="s">
        <v>190</v>
      </c>
      <c r="G513" s="270" t="s">
        <v>215</v>
      </c>
      <c r="H513" s="128">
        <v>40</v>
      </c>
      <c r="I513" s="441">
        <f>INT(L513*$Q$139)</f>
        <v>0</v>
      </c>
      <c r="J513" s="441">
        <f>INT(M513*$R$139)</f>
        <v>0</v>
      </c>
      <c r="K513" s="441">
        <f>SUM(I513:J513)</f>
        <v>0</v>
      </c>
      <c r="L513" s="387"/>
      <c r="M513" s="414"/>
      <c r="N513" s="414">
        <f t="shared" si="119"/>
        <v>0</v>
      </c>
      <c r="Q513" s="620"/>
      <c r="R513" s="27"/>
      <c r="S513" s="27"/>
      <c r="T513" s="27"/>
    </row>
    <row r="514" spans="1:20" ht="39.75" hidden="1" customHeight="1">
      <c r="A514" s="252" t="s">
        <v>899</v>
      </c>
      <c r="B514" s="252" t="s">
        <v>899</v>
      </c>
      <c r="C514" s="134" t="s">
        <v>897</v>
      </c>
      <c r="D514" s="483">
        <v>100</v>
      </c>
      <c r="E514" s="229" t="s">
        <v>795</v>
      </c>
      <c r="F514" s="126" t="s">
        <v>190</v>
      </c>
      <c r="G514" s="270" t="s">
        <v>224</v>
      </c>
      <c r="H514" s="421">
        <v>1</v>
      </c>
      <c r="I514" s="441">
        <f>INT(L514*$Q$139)</f>
        <v>0</v>
      </c>
      <c r="J514" s="441">
        <f>INT(M514*$R$139)</f>
        <v>0</v>
      </c>
      <c r="K514" s="441">
        <f>SUM(I514:J514)</f>
        <v>0</v>
      </c>
      <c r="L514" s="387"/>
      <c r="M514" s="414"/>
      <c r="N514" s="414">
        <f t="shared" si="119"/>
        <v>0</v>
      </c>
      <c r="Q514" s="620"/>
      <c r="R514" s="27"/>
      <c r="S514" s="27"/>
      <c r="T514" s="27"/>
    </row>
    <row r="515" spans="1:20" ht="45" hidden="1" customHeight="1">
      <c r="A515" s="138"/>
      <c r="B515" s="138"/>
      <c r="C515" s="136" t="s">
        <v>279</v>
      </c>
      <c r="D515" s="483">
        <v>100</v>
      </c>
      <c r="E515" s="136"/>
      <c r="F515" s="138"/>
      <c r="G515" s="143"/>
      <c r="H515" s="135"/>
      <c r="I515" s="393">
        <f t="shared" ref="I515:N515" si="120">SUM(I516:I516)</f>
        <v>0</v>
      </c>
      <c r="J515" s="393">
        <f t="shared" si="120"/>
        <v>0</v>
      </c>
      <c r="K515" s="393">
        <f t="shared" si="120"/>
        <v>0</v>
      </c>
      <c r="L515" s="393">
        <f>SUM(L516:L516)</f>
        <v>0</v>
      </c>
      <c r="M515" s="393">
        <f t="shared" si="120"/>
        <v>0</v>
      </c>
      <c r="N515" s="393">
        <f t="shared" si="120"/>
        <v>0</v>
      </c>
      <c r="Q515" s="620"/>
      <c r="R515" s="27"/>
      <c r="S515" s="27"/>
      <c r="T515" s="27"/>
    </row>
    <row r="516" spans="1:20" ht="39.950000000000003" hidden="1" customHeight="1">
      <c r="A516" s="252" t="s">
        <v>656</v>
      </c>
      <c r="B516" s="252" t="s">
        <v>656</v>
      </c>
      <c r="C516" s="32" t="s">
        <v>691</v>
      </c>
      <c r="D516" s="483">
        <v>100</v>
      </c>
      <c r="E516" s="229" t="s">
        <v>788</v>
      </c>
      <c r="F516" s="33" t="s">
        <v>190</v>
      </c>
      <c r="G516" s="31" t="s">
        <v>255</v>
      </c>
      <c r="H516" s="129">
        <v>1</v>
      </c>
      <c r="I516" s="386">
        <f>L516</f>
        <v>0</v>
      </c>
      <c r="J516" s="386">
        <f>INT(M516*$R$139)</f>
        <v>0</v>
      </c>
      <c r="K516" s="386">
        <f>SUM(I516:J516)</f>
        <v>0</v>
      </c>
      <c r="L516" s="412">
        <v>0</v>
      </c>
      <c r="M516" s="412"/>
      <c r="N516" s="415">
        <f>SUM(L516,M516)</f>
        <v>0</v>
      </c>
      <c r="Q516" s="620"/>
      <c r="R516" s="27"/>
      <c r="S516" s="27"/>
      <c r="T516" s="27"/>
    </row>
    <row r="517" spans="1:20" s="510" customFormat="1" ht="72" hidden="1" customHeight="1">
      <c r="A517" s="501"/>
      <c r="B517" s="502"/>
      <c r="C517" s="503" t="s">
        <v>723</v>
      </c>
      <c r="D517" s="504"/>
      <c r="E517" s="505"/>
      <c r="F517" s="504"/>
      <c r="G517" s="504"/>
      <c r="H517" s="504"/>
      <c r="I517" s="506">
        <f t="shared" ref="I517:N517" si="121">SUM(I518)</f>
        <v>345648</v>
      </c>
      <c r="J517" s="506">
        <f t="shared" si="121"/>
        <v>0</v>
      </c>
      <c r="K517" s="506">
        <f t="shared" si="121"/>
        <v>345648</v>
      </c>
      <c r="L517" s="507">
        <f t="shared" si="121"/>
        <v>345648</v>
      </c>
      <c r="M517" s="507">
        <f t="shared" si="121"/>
        <v>0</v>
      </c>
      <c r="N517" s="507">
        <f t="shared" si="121"/>
        <v>345648</v>
      </c>
      <c r="O517" s="508"/>
      <c r="P517" s="508"/>
      <c r="Q517" s="623"/>
      <c r="R517" s="508"/>
      <c r="S517" s="508"/>
      <c r="T517" s="509"/>
    </row>
    <row r="518" spans="1:20" ht="37.5" hidden="1" customHeight="1">
      <c r="A518" s="273" t="s">
        <v>797</v>
      </c>
      <c r="B518" s="481" t="s">
        <v>797</v>
      </c>
      <c r="C518" s="490" t="s">
        <v>468</v>
      </c>
      <c r="D518" s="484" t="s">
        <v>1321</v>
      </c>
      <c r="E518" s="492" t="s">
        <v>791</v>
      </c>
      <c r="F518" s="524" t="s">
        <v>190</v>
      </c>
      <c r="G518" s="486" t="s">
        <v>255</v>
      </c>
      <c r="H518" s="487">
        <v>1</v>
      </c>
      <c r="I518" s="473">
        <f>L518</f>
        <v>345648</v>
      </c>
      <c r="J518" s="473">
        <f>INT(M518*$R$139)</f>
        <v>0</v>
      </c>
      <c r="K518" s="473">
        <f>SUM(I518:J518)</f>
        <v>345648</v>
      </c>
      <c r="L518" s="167">
        <f>480000-134352</f>
        <v>345648</v>
      </c>
      <c r="M518" s="167"/>
      <c r="N518" s="167">
        <f>SUM(L518,M518)</f>
        <v>345648</v>
      </c>
      <c r="O518" s="405"/>
      <c r="P518" s="405"/>
    </row>
    <row r="519" spans="1:20" ht="27.75" hidden="1" customHeight="1">
      <c r="A519" s="39"/>
      <c r="B519" s="39"/>
      <c r="C519" s="94"/>
      <c r="D519" s="63"/>
      <c r="E519" s="52"/>
      <c r="F519" s="95"/>
      <c r="G519" s="94"/>
      <c r="H519" s="96"/>
      <c r="I519" s="399"/>
      <c r="J519" s="399"/>
      <c r="K519" s="399"/>
      <c r="L519" s="416"/>
      <c r="M519" s="416"/>
      <c r="N519" s="416"/>
      <c r="Q519" s="620"/>
      <c r="R519" s="27"/>
      <c r="S519" s="27"/>
      <c r="T519" s="27"/>
    </row>
    <row r="520" spans="1:20" s="472" customFormat="1" ht="45" hidden="1" customHeight="1">
      <c r="A520" s="478" t="s">
        <v>200</v>
      </c>
      <c r="B520" s="1263" t="s">
        <v>200</v>
      </c>
      <c r="C520" s="1264"/>
      <c r="D520" s="1264"/>
      <c r="E520" s="1264"/>
      <c r="F520" s="1264"/>
      <c r="G520" s="1264"/>
      <c r="H520" s="1265"/>
      <c r="I520" s="479">
        <f t="shared" ref="I520:N520" si="122">SUM(I498,I512,I515,I517)</f>
        <v>4940463</v>
      </c>
      <c r="J520" s="479">
        <f t="shared" si="122"/>
        <v>2000000</v>
      </c>
      <c r="K520" s="479">
        <f t="shared" si="122"/>
        <v>6940463</v>
      </c>
      <c r="L520" s="480">
        <f t="shared" si="122"/>
        <v>4940463</v>
      </c>
      <c r="M520" s="480">
        <f t="shared" si="122"/>
        <v>2000000</v>
      </c>
      <c r="N520" s="480">
        <f t="shared" si="122"/>
        <v>6940463</v>
      </c>
      <c r="O520" s="470"/>
      <c r="P520" s="470"/>
      <c r="Q520" s="622"/>
      <c r="R520" s="470"/>
      <c r="S520" s="470"/>
      <c r="T520" s="471"/>
    </row>
    <row r="521" spans="1:20" ht="49.5" hidden="1" customHeight="1">
      <c r="A521" s="25" t="s">
        <v>268</v>
      </c>
      <c r="B521" s="1292" t="s">
        <v>1281</v>
      </c>
      <c r="C521" s="1292"/>
      <c r="D521" s="1292"/>
      <c r="E521" s="1292"/>
      <c r="F521" s="1292"/>
      <c r="G521" s="1292"/>
      <c r="H521" s="1292"/>
      <c r="I521" s="1292"/>
      <c r="J521" s="1292"/>
      <c r="K521" s="1292"/>
      <c r="L521" s="342"/>
      <c r="M521" s="342"/>
      <c r="N521" s="342"/>
      <c r="Q521" s="620"/>
      <c r="R521" s="27"/>
      <c r="S521" s="27"/>
      <c r="T521" s="27"/>
    </row>
    <row r="522" spans="1:20" s="79" customFormat="1" ht="42" hidden="1" customHeight="1">
      <c r="A522" s="25"/>
      <c r="B522" s="1280" t="s">
        <v>1282</v>
      </c>
      <c r="C522" s="1280"/>
      <c r="D522" s="1280"/>
      <c r="E522" s="1280"/>
      <c r="F522" s="1280"/>
      <c r="G522" s="1280"/>
      <c r="H522" s="1280"/>
      <c r="I522" s="1280"/>
      <c r="J522" s="1280"/>
      <c r="K522" s="1280"/>
      <c r="L522" s="365"/>
      <c r="M522" s="365"/>
      <c r="N522" s="365"/>
      <c r="O522" s="28"/>
      <c r="P522" s="28"/>
      <c r="Q522" s="634"/>
    </row>
    <row r="523" spans="1:20" ht="75.75" hidden="1" customHeight="1">
      <c r="A523" s="25"/>
      <c r="B523" s="1293" t="s">
        <v>1279</v>
      </c>
      <c r="C523" s="1293"/>
      <c r="D523" s="1293"/>
      <c r="E523" s="1293"/>
      <c r="F523" s="1293"/>
      <c r="G523" s="1293"/>
      <c r="H523" s="1293"/>
      <c r="I523" s="1293"/>
      <c r="J523" s="1293"/>
      <c r="K523" s="1293"/>
      <c r="L523" s="101"/>
      <c r="M523" s="101"/>
      <c r="N523" s="101"/>
      <c r="Q523" s="620"/>
      <c r="R523" s="27"/>
      <c r="S523" s="27"/>
      <c r="T523" s="27"/>
    </row>
    <row r="524" spans="1:20" ht="9.75" hidden="1" customHeight="1">
      <c r="A524" s="25"/>
      <c r="B524" s="25"/>
      <c r="C524" s="1290"/>
      <c r="D524" s="1290"/>
      <c r="E524" s="1290"/>
      <c r="F524" s="1290"/>
      <c r="G524" s="1290"/>
      <c r="H524" s="1290"/>
      <c r="I524" s="1290"/>
      <c r="J524" s="1290"/>
      <c r="K524" s="1290"/>
      <c r="L524" s="1290"/>
      <c r="M524" s="1290"/>
      <c r="N524" s="1290"/>
      <c r="Q524" s="620"/>
      <c r="R524" s="27"/>
      <c r="S524" s="27"/>
      <c r="T524" s="27"/>
    </row>
    <row r="525" spans="1:20" ht="45" hidden="1" customHeight="1">
      <c r="A525" s="25"/>
      <c r="B525" s="25"/>
      <c r="C525" s="1290"/>
      <c r="D525" s="1290"/>
      <c r="E525" s="1290"/>
      <c r="F525" s="1290"/>
      <c r="G525" s="1290"/>
      <c r="H525" s="1290"/>
      <c r="I525" s="1290"/>
      <c r="J525" s="1290"/>
      <c r="K525" s="1290"/>
      <c r="L525" s="1290"/>
      <c r="M525" s="1290"/>
      <c r="N525" s="1290"/>
      <c r="Q525" s="620"/>
      <c r="R525" s="27"/>
      <c r="S525" s="27"/>
      <c r="T525" s="27"/>
    </row>
    <row r="526" spans="1:20" ht="24.95" hidden="1" customHeight="1">
      <c r="A526" s="614"/>
      <c r="B526" s="614"/>
      <c r="C526" s="1290"/>
      <c r="D526" s="1290"/>
      <c r="E526" s="1290"/>
      <c r="F526" s="1290"/>
      <c r="G526" s="1290"/>
      <c r="H526" s="1290"/>
      <c r="I526" s="1290"/>
      <c r="J526" s="1290"/>
      <c r="K526" s="1290"/>
      <c r="L526" s="1290"/>
      <c r="M526" s="1290"/>
      <c r="N526" s="1290"/>
    </row>
    <row r="527" spans="1:20" ht="24.95" hidden="1" customHeight="1">
      <c r="A527" s="614"/>
      <c r="B527" s="614"/>
      <c r="C527" s="614"/>
      <c r="D527" s="614"/>
      <c r="E527" s="614"/>
      <c r="F527" s="614"/>
      <c r="G527" s="97"/>
      <c r="H527" s="97"/>
      <c r="I527" s="97"/>
      <c r="J527" s="97"/>
      <c r="K527" s="97"/>
      <c r="L527" s="614"/>
      <c r="M527" s="614"/>
      <c r="N527" s="614"/>
    </row>
    <row r="528" spans="1:20" ht="24.95" hidden="1" customHeight="1">
      <c r="A528" s="614"/>
      <c r="B528" s="614"/>
      <c r="C528" s="614"/>
      <c r="D528" s="614"/>
      <c r="E528" s="614"/>
      <c r="F528" s="614"/>
      <c r="G528" s="97"/>
      <c r="H528" s="97"/>
      <c r="I528" s="97"/>
      <c r="J528" s="97"/>
      <c r="K528" s="97"/>
      <c r="L528" s="614"/>
      <c r="M528" s="614"/>
      <c r="N528" s="614"/>
    </row>
    <row r="529" spans="1:20" ht="24.95" hidden="1" customHeight="1">
      <c r="A529" s="614"/>
      <c r="B529" s="614"/>
      <c r="C529" s="614"/>
      <c r="D529" s="614"/>
      <c r="E529" s="614"/>
      <c r="F529" s="614"/>
      <c r="G529" s="97"/>
      <c r="H529" s="97"/>
      <c r="I529" s="97"/>
      <c r="J529" s="97"/>
      <c r="K529" s="97"/>
      <c r="L529" s="614"/>
      <c r="M529" s="614"/>
      <c r="N529" s="614"/>
    </row>
    <row r="530" spans="1:20" ht="20.100000000000001" hidden="1" customHeight="1">
      <c r="A530" s="614"/>
      <c r="B530" s="614"/>
      <c r="C530" s="614"/>
      <c r="D530" s="614"/>
      <c r="E530" s="614"/>
      <c r="F530" s="614"/>
      <c r="G530" s="97"/>
      <c r="H530" s="97"/>
      <c r="I530" s="97"/>
      <c r="J530" s="97"/>
      <c r="K530" s="97"/>
      <c r="L530" s="614"/>
      <c r="M530" s="614"/>
      <c r="N530" s="614"/>
    </row>
    <row r="531" spans="1:20" ht="20.100000000000001" hidden="1" customHeight="1"/>
    <row r="532" spans="1:20" ht="20.100000000000001" hidden="1" customHeight="1" thickBot="1">
      <c r="C532" s="609"/>
      <c r="D532" s="609"/>
      <c r="E532" s="609"/>
      <c r="L532" s="1291"/>
      <c r="M532" s="1291"/>
      <c r="N532" s="1291"/>
    </row>
    <row r="533" spans="1:20" ht="27" hidden="1" customHeight="1">
      <c r="C533" s="1204" t="s">
        <v>51</v>
      </c>
      <c r="D533" s="1204"/>
      <c r="E533" s="1204"/>
      <c r="F533" s="1204"/>
      <c r="H533" s="1243" t="s">
        <v>11</v>
      </c>
      <c r="I533" s="1244"/>
      <c r="J533" s="1244"/>
      <c r="K533" s="1245"/>
      <c r="L533" s="337"/>
      <c r="M533" s="337"/>
      <c r="N533" s="337"/>
    </row>
    <row r="534" spans="1:20" ht="27" hidden="1" customHeight="1">
      <c r="C534" s="1204" t="s">
        <v>52</v>
      </c>
      <c r="D534" s="1204"/>
      <c r="E534" s="1204"/>
      <c r="F534" s="1204"/>
      <c r="G534" s="44"/>
      <c r="H534" s="1208" t="s">
        <v>101</v>
      </c>
      <c r="I534" s="1209"/>
      <c r="J534" s="1209"/>
      <c r="K534" s="1210"/>
      <c r="L534" s="336"/>
      <c r="M534" s="336"/>
      <c r="N534" s="336"/>
    </row>
    <row r="535" spans="1:20" ht="37.5" hidden="1" customHeight="1">
      <c r="C535" s="1204" t="s">
        <v>50</v>
      </c>
      <c r="D535" s="1204"/>
      <c r="E535" s="1204"/>
      <c r="F535" s="1204"/>
      <c r="G535" s="44"/>
      <c r="H535" s="1211"/>
      <c r="I535" s="1212"/>
      <c r="J535" s="1212"/>
      <c r="K535" s="1213"/>
      <c r="L535" s="336"/>
      <c r="M535" s="336"/>
      <c r="N535" s="336"/>
    </row>
    <row r="536" spans="1:20" s="60" customFormat="1" ht="46.5" hidden="1" customHeight="1">
      <c r="A536" s="75"/>
      <c r="B536" s="75"/>
      <c r="C536" s="65"/>
      <c r="D536" s="65"/>
      <c r="E536" s="65"/>
      <c r="F536" s="10"/>
      <c r="G536" s="10"/>
      <c r="H536" s="1211" t="s">
        <v>22</v>
      </c>
      <c r="I536" s="1212"/>
      <c r="J536" s="1212"/>
      <c r="K536" s="477">
        <f>SUM(K562)</f>
        <v>315128</v>
      </c>
      <c r="L536" s="336"/>
      <c r="M536" s="336"/>
      <c r="N536" s="86"/>
      <c r="O536" s="28"/>
      <c r="P536" s="28"/>
      <c r="Q536" s="312"/>
      <c r="R536" s="28"/>
      <c r="S536" s="28"/>
      <c r="T536" s="29"/>
    </row>
    <row r="537" spans="1:20" ht="32.25" hidden="1" customHeight="1" thickBot="1">
      <c r="A537" s="75"/>
      <c r="B537" s="75"/>
      <c r="C537" s="65"/>
      <c r="D537" s="65"/>
      <c r="E537" s="65"/>
      <c r="F537" s="10"/>
      <c r="G537" s="10"/>
      <c r="H537" s="1283" t="s">
        <v>13</v>
      </c>
      <c r="I537" s="1284"/>
      <c r="J537" s="1284"/>
      <c r="K537" s="1285"/>
      <c r="L537" s="336"/>
      <c r="M537" s="336"/>
      <c r="N537" s="336"/>
    </row>
    <row r="538" spans="1:20" s="98" customFormat="1" ht="24.95" hidden="1" customHeight="1">
      <c r="A538" s="75"/>
      <c r="B538" s="75"/>
      <c r="C538" s="65"/>
      <c r="D538" s="65"/>
      <c r="E538" s="65"/>
      <c r="F538" s="10"/>
      <c r="G538" s="10"/>
      <c r="H538" s="10"/>
      <c r="I538" s="10"/>
      <c r="J538" s="10"/>
      <c r="K538" s="10"/>
      <c r="L538" s="10"/>
      <c r="M538" s="10"/>
      <c r="N538" s="10"/>
      <c r="O538" s="28"/>
      <c r="P538" s="28"/>
      <c r="Q538" s="312"/>
      <c r="R538" s="28"/>
      <c r="S538" s="28"/>
      <c r="T538" s="29"/>
    </row>
    <row r="539" spans="1:20" ht="24.95" hidden="1" customHeight="1">
      <c r="A539" s="75"/>
      <c r="B539" s="75"/>
      <c r="C539" s="65"/>
      <c r="D539" s="65"/>
      <c r="E539" s="65"/>
      <c r="F539" s="10"/>
      <c r="G539" s="10"/>
      <c r="H539" s="10"/>
      <c r="I539" s="10"/>
      <c r="J539" s="10"/>
      <c r="K539" s="10"/>
      <c r="L539" s="10"/>
      <c r="M539" s="10"/>
      <c r="N539" s="10"/>
    </row>
    <row r="540" spans="1:20" ht="44.25" hidden="1" customHeight="1">
      <c r="A540" s="346" t="s">
        <v>1057</v>
      </c>
      <c r="B540" s="1226" t="s">
        <v>1037</v>
      </c>
      <c r="C540" s="1226"/>
      <c r="D540" s="1226"/>
      <c r="E540" s="1226"/>
      <c r="F540" s="1226"/>
      <c r="G540" s="1226"/>
      <c r="H540" s="1226"/>
      <c r="I540" s="1226"/>
      <c r="J540" s="1226"/>
      <c r="K540" s="1226"/>
      <c r="L540" s="346"/>
      <c r="M540" s="346"/>
      <c r="N540" s="346"/>
      <c r="O540" s="27"/>
      <c r="P540" s="27"/>
      <c r="Q540" s="620"/>
      <c r="R540" s="27"/>
      <c r="S540" s="27"/>
      <c r="T540" s="27"/>
    </row>
    <row r="541" spans="1:20" ht="54.95" hidden="1" customHeight="1">
      <c r="A541" s="46"/>
      <c r="B541" s="46"/>
      <c r="C541" s="46"/>
      <c r="D541" s="46"/>
      <c r="E541" s="46"/>
      <c r="F541" s="46"/>
      <c r="G541" s="46"/>
      <c r="H541" s="46"/>
      <c r="I541" s="403"/>
      <c r="J541" s="86"/>
      <c r="K541" s="86"/>
      <c r="L541" s="46"/>
      <c r="M541" s="46"/>
      <c r="N541" s="46"/>
    </row>
    <row r="542" spans="1:20" s="500" customFormat="1" ht="90" hidden="1">
      <c r="A542" s="496" t="s">
        <v>14</v>
      </c>
      <c r="B542" s="497" t="s">
        <v>14</v>
      </c>
      <c r="C542" s="497" t="s">
        <v>37</v>
      </c>
      <c r="D542" s="497" t="s">
        <v>440</v>
      </c>
      <c r="E542" s="497" t="s">
        <v>16</v>
      </c>
      <c r="F542" s="497" t="s">
        <v>185</v>
      </c>
      <c r="G542" s="497" t="s">
        <v>178</v>
      </c>
      <c r="H542" s="497" t="s">
        <v>179</v>
      </c>
      <c r="I542" s="497" t="s">
        <v>180</v>
      </c>
      <c r="J542" s="497" t="s">
        <v>181</v>
      </c>
      <c r="K542" s="497" t="s">
        <v>200</v>
      </c>
      <c r="L542" s="496" t="s">
        <v>180</v>
      </c>
      <c r="M542" s="496" t="s">
        <v>181</v>
      </c>
      <c r="N542" s="496" t="s">
        <v>200</v>
      </c>
      <c r="O542" s="498"/>
      <c r="P542" s="498"/>
      <c r="Q542" s="622"/>
      <c r="R542" s="498"/>
      <c r="S542" s="498"/>
      <c r="T542" s="499"/>
    </row>
    <row r="543" spans="1:20" s="510" customFormat="1" ht="54.75" hidden="1" customHeight="1">
      <c r="A543" s="501"/>
      <c r="B543" s="502"/>
      <c r="C543" s="503" t="s">
        <v>273</v>
      </c>
      <c r="D543" s="504"/>
      <c r="E543" s="505"/>
      <c r="F543" s="504"/>
      <c r="G543" s="504"/>
      <c r="H543" s="504"/>
      <c r="I543" s="506">
        <f>L543</f>
        <v>230043</v>
      </c>
      <c r="J543" s="506">
        <f>SUM(J547:J551)</f>
        <v>0</v>
      </c>
      <c r="K543" s="506">
        <f t="shared" ref="K543:K551" si="123">SUM(I543:J543)</f>
        <v>230043</v>
      </c>
      <c r="L543" s="507">
        <f>SUM(L544:L551)</f>
        <v>230043</v>
      </c>
      <c r="M543" s="507">
        <f>SUM(M544:M551)</f>
        <v>0</v>
      </c>
      <c r="N543" s="507">
        <f>SUM(N547:N551)</f>
        <v>137043</v>
      </c>
      <c r="O543" s="508"/>
      <c r="P543" s="508"/>
      <c r="Q543" s="623"/>
      <c r="R543" s="508"/>
      <c r="S543" s="508"/>
      <c r="T543" s="509"/>
    </row>
    <row r="544" spans="1:20" ht="38.25" hidden="1" customHeight="1">
      <c r="A544" s="273"/>
      <c r="B544" s="481" t="s">
        <v>1138</v>
      </c>
      <c r="C544" s="482" t="s">
        <v>1136</v>
      </c>
      <c r="D544" s="483">
        <v>8100</v>
      </c>
      <c r="E544" s="484">
        <v>108288</v>
      </c>
      <c r="F544" s="524" t="s">
        <v>1100</v>
      </c>
      <c r="G544" s="488" t="s">
        <v>204</v>
      </c>
      <c r="H544" s="491">
        <v>1</v>
      </c>
      <c r="I544" s="473">
        <f t="shared" ref="I544:I551" si="124">INT(L544*$Q$139)</f>
        <v>6000</v>
      </c>
      <c r="J544" s="473">
        <f t="shared" ref="J544:J551" si="125">INT(M544*$R$139)</f>
        <v>0</v>
      </c>
      <c r="K544" s="473">
        <f t="shared" si="123"/>
        <v>6000</v>
      </c>
      <c r="L544" s="167">
        <v>6000</v>
      </c>
      <c r="M544" s="167"/>
      <c r="N544" s="167">
        <f t="shared" ref="N544:N551" si="126">SUM(L544,M544)</f>
        <v>6000</v>
      </c>
      <c r="O544" s="405"/>
      <c r="P544" s="405"/>
    </row>
    <row r="545" spans="1:20" ht="38.25" hidden="1" customHeight="1">
      <c r="A545" s="273"/>
      <c r="B545" s="481" t="s">
        <v>1038</v>
      </c>
      <c r="C545" s="482" t="s">
        <v>1035</v>
      </c>
      <c r="D545" s="483">
        <v>8100</v>
      </c>
      <c r="E545" s="484">
        <v>108288</v>
      </c>
      <c r="F545" s="524" t="s">
        <v>238</v>
      </c>
      <c r="G545" s="488" t="s">
        <v>204</v>
      </c>
      <c r="H545" s="491">
        <v>1</v>
      </c>
      <c r="I545" s="473">
        <f>INT(L545*$Q$139)</f>
        <v>80000</v>
      </c>
      <c r="J545" s="473">
        <f>INT(M545*$R$139)</f>
        <v>0</v>
      </c>
      <c r="K545" s="473">
        <f>SUM(I545:J545)</f>
        <v>80000</v>
      </c>
      <c r="L545" s="167">
        <f>30000+50000</f>
        <v>80000</v>
      </c>
      <c r="M545" s="167"/>
      <c r="N545" s="167">
        <f>SUM(L545,M545)</f>
        <v>80000</v>
      </c>
      <c r="O545" s="405"/>
      <c r="P545" s="405"/>
    </row>
    <row r="546" spans="1:20" ht="38.25" hidden="1" customHeight="1">
      <c r="A546" s="273"/>
      <c r="B546" s="481" t="s">
        <v>1184</v>
      </c>
      <c r="C546" s="482" t="s">
        <v>1137</v>
      </c>
      <c r="D546" s="483">
        <v>8100</v>
      </c>
      <c r="E546" s="484">
        <v>108288</v>
      </c>
      <c r="F546" s="524" t="s">
        <v>1100</v>
      </c>
      <c r="G546" s="488" t="s">
        <v>204</v>
      </c>
      <c r="H546" s="491">
        <v>1</v>
      </c>
      <c r="I546" s="473">
        <f t="shared" si="124"/>
        <v>7000</v>
      </c>
      <c r="J546" s="473">
        <f t="shared" si="125"/>
        <v>0</v>
      </c>
      <c r="K546" s="473">
        <f t="shared" si="123"/>
        <v>7000</v>
      </c>
      <c r="L546" s="167">
        <v>7000</v>
      </c>
      <c r="M546" s="167"/>
      <c r="N546" s="167"/>
      <c r="O546" s="405"/>
      <c r="P546" s="405"/>
    </row>
    <row r="547" spans="1:20" ht="38.25" hidden="1" customHeight="1">
      <c r="A547" s="273" t="s">
        <v>575</v>
      </c>
      <c r="B547" s="481" t="s">
        <v>1139</v>
      </c>
      <c r="C547" s="482" t="s">
        <v>494</v>
      </c>
      <c r="D547" s="483">
        <v>8100</v>
      </c>
      <c r="E547" s="484">
        <v>108288</v>
      </c>
      <c r="F547" s="524" t="s">
        <v>295</v>
      </c>
      <c r="G547" s="488" t="s">
        <v>44</v>
      </c>
      <c r="H547" s="489">
        <v>1</v>
      </c>
      <c r="I547" s="473">
        <f t="shared" si="124"/>
        <v>28425</v>
      </c>
      <c r="J547" s="473">
        <f t="shared" si="125"/>
        <v>0</v>
      </c>
      <c r="K547" s="473">
        <f t="shared" si="123"/>
        <v>28425</v>
      </c>
      <c r="L547" s="167">
        <v>28425</v>
      </c>
      <c r="M547" s="167"/>
      <c r="N547" s="167">
        <f t="shared" si="126"/>
        <v>28425</v>
      </c>
      <c r="O547" s="405"/>
      <c r="P547" s="405"/>
    </row>
    <row r="548" spans="1:20" ht="63" hidden="1" customHeight="1">
      <c r="A548" s="273" t="s">
        <v>576</v>
      </c>
      <c r="B548" s="481" t="s">
        <v>1140</v>
      </c>
      <c r="C548" s="490" t="s">
        <v>1036</v>
      </c>
      <c r="D548" s="483">
        <v>8100</v>
      </c>
      <c r="E548" s="484">
        <v>108288</v>
      </c>
      <c r="F548" s="524" t="s">
        <v>238</v>
      </c>
      <c r="G548" s="488" t="s">
        <v>204</v>
      </c>
      <c r="H548" s="491">
        <v>1</v>
      </c>
      <c r="I548" s="473">
        <f t="shared" si="124"/>
        <v>20109</v>
      </c>
      <c r="J548" s="473">
        <f t="shared" si="125"/>
        <v>0</v>
      </c>
      <c r="K548" s="473">
        <f t="shared" si="123"/>
        <v>20109</v>
      </c>
      <c r="L548" s="167">
        <v>20109</v>
      </c>
      <c r="M548" s="167"/>
      <c r="N548" s="167">
        <f t="shared" si="126"/>
        <v>20109</v>
      </c>
      <c r="O548" s="405"/>
      <c r="P548" s="405"/>
    </row>
    <row r="549" spans="1:20" ht="38.25" hidden="1" customHeight="1">
      <c r="A549" s="273" t="s">
        <v>577</v>
      </c>
      <c r="B549" s="481" t="s">
        <v>1116</v>
      </c>
      <c r="C549" s="482" t="s">
        <v>495</v>
      </c>
      <c r="D549" s="483">
        <v>8100</v>
      </c>
      <c r="E549" s="484">
        <v>108288</v>
      </c>
      <c r="F549" s="524" t="s">
        <v>881</v>
      </c>
      <c r="G549" s="488" t="s">
        <v>204</v>
      </c>
      <c r="H549" s="491">
        <v>1</v>
      </c>
      <c r="I549" s="473">
        <f t="shared" si="124"/>
        <v>61051</v>
      </c>
      <c r="J549" s="473">
        <f t="shared" si="125"/>
        <v>0</v>
      </c>
      <c r="K549" s="473">
        <f t="shared" si="123"/>
        <v>61051</v>
      </c>
      <c r="L549" s="167">
        <v>61051</v>
      </c>
      <c r="M549" s="167"/>
      <c r="N549" s="167">
        <f t="shared" si="126"/>
        <v>61051</v>
      </c>
      <c r="O549" s="405"/>
      <c r="P549" s="405"/>
    </row>
    <row r="550" spans="1:20" ht="38.25" hidden="1" customHeight="1">
      <c r="A550" s="273" t="s">
        <v>578</v>
      </c>
      <c r="B550" s="481" t="s">
        <v>1141</v>
      </c>
      <c r="C550" s="482" t="s">
        <v>496</v>
      </c>
      <c r="D550" s="483">
        <v>8100</v>
      </c>
      <c r="E550" s="484">
        <v>108288</v>
      </c>
      <c r="F550" s="524" t="s">
        <v>238</v>
      </c>
      <c r="G550" s="488" t="s">
        <v>148</v>
      </c>
      <c r="H550" s="489">
        <v>3</v>
      </c>
      <c r="I550" s="473">
        <f t="shared" si="124"/>
        <v>14183</v>
      </c>
      <c r="J550" s="473">
        <f t="shared" si="125"/>
        <v>0</v>
      </c>
      <c r="K550" s="473">
        <f t="shared" si="123"/>
        <v>14183</v>
      </c>
      <c r="L550" s="167">
        <v>14183</v>
      </c>
      <c r="M550" s="167"/>
      <c r="N550" s="167">
        <f t="shared" si="126"/>
        <v>14183</v>
      </c>
      <c r="O550" s="405"/>
      <c r="P550" s="405"/>
    </row>
    <row r="551" spans="1:20" ht="38.25" hidden="1" customHeight="1">
      <c r="A551" s="273" t="s">
        <v>579</v>
      </c>
      <c r="B551" s="481" t="s">
        <v>1142</v>
      </c>
      <c r="C551" s="482" t="s">
        <v>504</v>
      </c>
      <c r="D551" s="483">
        <v>8100</v>
      </c>
      <c r="E551" s="484">
        <v>108288</v>
      </c>
      <c r="F551" s="524" t="s">
        <v>238</v>
      </c>
      <c r="G551" s="488" t="s">
        <v>204</v>
      </c>
      <c r="H551" s="491">
        <v>1</v>
      </c>
      <c r="I551" s="473">
        <f t="shared" si="124"/>
        <v>13275</v>
      </c>
      <c r="J551" s="473">
        <f t="shared" si="125"/>
        <v>0</v>
      </c>
      <c r="K551" s="473">
        <f t="shared" si="123"/>
        <v>13275</v>
      </c>
      <c r="L551" s="167">
        <v>13275</v>
      </c>
      <c r="M551" s="167"/>
      <c r="N551" s="167">
        <f t="shared" si="126"/>
        <v>13275</v>
      </c>
      <c r="O551" s="405"/>
      <c r="P551" s="405"/>
    </row>
    <row r="552" spans="1:20" s="510" customFormat="1" ht="72" hidden="1" customHeight="1">
      <c r="A552" s="501"/>
      <c r="B552" s="502"/>
      <c r="C552" s="503" t="s">
        <v>278</v>
      </c>
      <c r="D552" s="504"/>
      <c r="E552" s="505"/>
      <c r="F552" s="504"/>
      <c r="G552" s="504"/>
      <c r="H552" s="504"/>
      <c r="I552" s="506">
        <f>SUM(I553:I555)</f>
        <v>85085</v>
      </c>
      <c r="J552" s="506">
        <f>SUM(J553:J555)</f>
        <v>0</v>
      </c>
      <c r="K552" s="506">
        <f>I552+J552</f>
        <v>85085</v>
      </c>
      <c r="L552" s="507">
        <f>SUM(L553:L555)</f>
        <v>85085</v>
      </c>
      <c r="M552" s="507">
        <f>SUM(M553:M555)</f>
        <v>0</v>
      </c>
      <c r="N552" s="507">
        <f>L552+M552</f>
        <v>85085</v>
      </c>
      <c r="O552" s="508"/>
      <c r="P552" s="508"/>
      <c r="Q552" s="623"/>
      <c r="R552" s="508"/>
      <c r="S552" s="508"/>
      <c r="T552" s="509"/>
    </row>
    <row r="553" spans="1:20" ht="38.25" hidden="1" customHeight="1">
      <c r="A553" s="273"/>
      <c r="B553" s="481" t="s">
        <v>1043</v>
      </c>
      <c r="C553" s="482" t="s">
        <v>1099</v>
      </c>
      <c r="D553" s="483">
        <v>8100</v>
      </c>
      <c r="E553" s="484" t="s">
        <v>686</v>
      </c>
      <c r="F553" s="524" t="s">
        <v>1100</v>
      </c>
      <c r="G553" s="488" t="s">
        <v>18</v>
      </c>
      <c r="H553" s="489">
        <v>3</v>
      </c>
      <c r="I553" s="473">
        <f>INT(L553*$Q$139)</f>
        <v>10000</v>
      </c>
      <c r="J553" s="473">
        <f>INT(M553*$R$139)</f>
        <v>0</v>
      </c>
      <c r="K553" s="473">
        <f>SUM(I553:J553)</f>
        <v>10000</v>
      </c>
      <c r="L553" s="167">
        <v>10000</v>
      </c>
      <c r="M553" s="167"/>
      <c r="N553" s="167">
        <f>SUM(L553:M553)</f>
        <v>10000</v>
      </c>
      <c r="O553" s="405"/>
      <c r="P553" s="405"/>
    </row>
    <row r="554" spans="1:20" ht="38.25" hidden="1" customHeight="1">
      <c r="A554" s="273"/>
      <c r="B554" s="481" t="s">
        <v>1117</v>
      </c>
      <c r="C554" s="482" t="s">
        <v>951</v>
      </c>
      <c r="D554" s="483">
        <v>8100</v>
      </c>
      <c r="E554" s="484" t="s">
        <v>686</v>
      </c>
      <c r="F554" s="524" t="s">
        <v>5</v>
      </c>
      <c r="G554" s="488" t="s">
        <v>18</v>
      </c>
      <c r="H554" s="489">
        <v>40</v>
      </c>
      <c r="I554" s="473">
        <f>INT(L554*$Q$139)</f>
        <v>20000</v>
      </c>
      <c r="J554" s="473">
        <f>INT(M554*$R$139)</f>
        <v>0</v>
      </c>
      <c r="K554" s="473">
        <f>SUM(I554:J554)</f>
        <v>20000</v>
      </c>
      <c r="L554" s="167">
        <v>20000</v>
      </c>
      <c r="M554" s="167"/>
      <c r="N554" s="167">
        <f>SUM(L554:M554)</f>
        <v>20000</v>
      </c>
      <c r="O554" s="405"/>
      <c r="P554" s="405"/>
    </row>
    <row r="555" spans="1:20" ht="38.25" hidden="1" customHeight="1">
      <c r="A555" s="273" t="s">
        <v>936</v>
      </c>
      <c r="B555" s="481" t="s">
        <v>991</v>
      </c>
      <c r="C555" s="482" t="s">
        <v>937</v>
      </c>
      <c r="D555" s="483">
        <v>8100</v>
      </c>
      <c r="E555" s="484" t="s">
        <v>686</v>
      </c>
      <c r="F555" s="524" t="s">
        <v>5</v>
      </c>
      <c r="G555" s="488" t="s">
        <v>18</v>
      </c>
      <c r="H555" s="489">
        <v>15</v>
      </c>
      <c r="I555" s="473">
        <f>INT(L555*$Q$139)</f>
        <v>55085</v>
      </c>
      <c r="J555" s="473">
        <f>INT(M555*$R$139)</f>
        <v>0</v>
      </c>
      <c r="K555" s="473">
        <f>SUM(I555:J555)</f>
        <v>55085</v>
      </c>
      <c r="L555" s="167">
        <v>55085</v>
      </c>
      <c r="M555" s="167"/>
      <c r="N555" s="167">
        <f>SUM(L555:M555)</f>
        <v>55085</v>
      </c>
      <c r="O555" s="405"/>
      <c r="P555" s="405"/>
    </row>
    <row r="556" spans="1:20" ht="39.950000000000003" hidden="1" customHeight="1">
      <c r="A556" s="164"/>
      <c r="B556" s="137"/>
      <c r="C556" s="136" t="s">
        <v>274</v>
      </c>
      <c r="D556" s="136"/>
      <c r="E556" s="484" t="s">
        <v>686</v>
      </c>
      <c r="F556" s="138"/>
      <c r="G556" s="143"/>
      <c r="H556" s="135"/>
      <c r="I556" s="391">
        <f t="shared" ref="I556:N556" si="127">SUM(I557:I560)</f>
        <v>0</v>
      </c>
      <c r="J556" s="391">
        <f t="shared" si="127"/>
        <v>0</v>
      </c>
      <c r="K556" s="391">
        <f t="shared" si="127"/>
        <v>0</v>
      </c>
      <c r="L556" s="391">
        <f t="shared" si="127"/>
        <v>0</v>
      </c>
      <c r="M556" s="391">
        <f t="shared" si="127"/>
        <v>0</v>
      </c>
      <c r="N556" s="391">
        <f t="shared" si="127"/>
        <v>0</v>
      </c>
      <c r="O556" s="27"/>
      <c r="P556" s="27"/>
      <c r="Q556" s="620"/>
      <c r="R556" s="27"/>
      <c r="S556" s="27"/>
      <c r="T556" s="27"/>
    </row>
    <row r="557" spans="1:20" ht="45" hidden="1" customHeight="1">
      <c r="A557" s="243" t="s">
        <v>750</v>
      </c>
      <c r="B557" s="243" t="s">
        <v>750</v>
      </c>
      <c r="C557" s="250" t="s">
        <v>751</v>
      </c>
      <c r="D557" s="228">
        <v>112</v>
      </c>
      <c r="E557" s="484" t="s">
        <v>686</v>
      </c>
      <c r="F557" s="249" t="s">
        <v>238</v>
      </c>
      <c r="G557" s="248" t="s">
        <v>204</v>
      </c>
      <c r="H557" s="251">
        <v>1</v>
      </c>
      <c r="I557" s="386">
        <f>INT(L557*$Q$139)</f>
        <v>0</v>
      </c>
      <c r="J557" s="386">
        <f>INT(M557*$R$139)</f>
        <v>0</v>
      </c>
      <c r="K557" s="386">
        <f>SUM(I557:J557)</f>
        <v>0</v>
      </c>
      <c r="L557" s="185"/>
      <c r="M557" s="185"/>
      <c r="N557" s="185">
        <f>SUM(L557,M557)</f>
        <v>0</v>
      </c>
      <c r="O557" s="27"/>
      <c r="P557" s="27"/>
      <c r="Q557" s="620"/>
      <c r="R557" s="27"/>
      <c r="S557" s="27"/>
      <c r="T557" s="27"/>
    </row>
    <row r="558" spans="1:20" ht="39.950000000000003" hidden="1" customHeight="1">
      <c r="A558" s="243" t="s">
        <v>849</v>
      </c>
      <c r="B558" s="243" t="s">
        <v>849</v>
      </c>
      <c r="C558" s="183" t="s">
        <v>495</v>
      </c>
      <c r="D558" s="228">
        <v>112</v>
      </c>
      <c r="E558" s="484" t="s">
        <v>686</v>
      </c>
      <c r="F558" s="230" t="s">
        <v>881</v>
      </c>
      <c r="G558" s="237" t="s">
        <v>204</v>
      </c>
      <c r="H558" s="238">
        <v>1</v>
      </c>
      <c r="I558" s="386"/>
      <c r="J558" s="386">
        <f>INT(M558*$R$139)</f>
        <v>0</v>
      </c>
      <c r="K558" s="386">
        <f>SUM(I558:J558)</f>
        <v>0</v>
      </c>
      <c r="L558" s="386"/>
      <c r="M558" s="386"/>
      <c r="N558" s="386">
        <f>SUM(L558,M558)</f>
        <v>0</v>
      </c>
      <c r="O558" s="27"/>
      <c r="P558" s="27"/>
      <c r="Q558" s="620"/>
      <c r="R558" s="27"/>
      <c r="S558" s="27"/>
      <c r="T558" s="27"/>
    </row>
    <row r="559" spans="1:20" ht="63" hidden="1" customHeight="1">
      <c r="A559" s="243" t="s">
        <v>850</v>
      </c>
      <c r="B559" s="243" t="s">
        <v>850</v>
      </c>
      <c r="C559" s="183" t="s">
        <v>45</v>
      </c>
      <c r="D559" s="228">
        <v>112</v>
      </c>
      <c r="E559" s="484" t="s">
        <v>686</v>
      </c>
      <c r="F559" s="230" t="s">
        <v>295</v>
      </c>
      <c r="G559" s="237" t="s">
        <v>223</v>
      </c>
      <c r="H559" s="238">
        <v>1</v>
      </c>
      <c r="I559" s="386">
        <f>INT(L559*$Q$139)</f>
        <v>0</v>
      </c>
      <c r="J559" s="386">
        <f>INT(M559*$R$139)</f>
        <v>0</v>
      </c>
      <c r="K559" s="386">
        <f>SUM(I559:J559)</f>
        <v>0</v>
      </c>
      <c r="L559" s="386"/>
      <c r="M559" s="386"/>
      <c r="N559" s="386">
        <f>SUM(L559,M559)</f>
        <v>0</v>
      </c>
      <c r="O559" s="27"/>
      <c r="P559" s="27"/>
      <c r="Q559" s="620"/>
      <c r="R559" s="27"/>
      <c r="S559" s="27"/>
      <c r="T559" s="27"/>
    </row>
    <row r="560" spans="1:20" ht="68.25" hidden="1" customHeight="1">
      <c r="A560" s="252" t="s">
        <v>847</v>
      </c>
      <c r="B560" s="252" t="s">
        <v>847</v>
      </c>
      <c r="C560" s="250" t="s">
        <v>391</v>
      </c>
      <c r="D560" s="228">
        <v>112</v>
      </c>
      <c r="E560" s="484" t="s">
        <v>686</v>
      </c>
      <c r="F560" s="249" t="s">
        <v>5</v>
      </c>
      <c r="G560" s="237" t="s">
        <v>223</v>
      </c>
      <c r="H560" s="249">
        <v>30</v>
      </c>
      <c r="I560" s="386">
        <f>INT(L560*$Q$139)</f>
        <v>0</v>
      </c>
      <c r="J560" s="386">
        <f>INT(M560*$R$139)</f>
        <v>0</v>
      </c>
      <c r="K560" s="386">
        <f>SUM(I560:J560)</f>
        <v>0</v>
      </c>
      <c r="L560" s="386"/>
      <c r="M560" s="386"/>
      <c r="N560" s="386">
        <f>SUM(L560,M560)</f>
        <v>0</v>
      </c>
    </row>
    <row r="561" spans="1:20" ht="39.950000000000003" hidden="1" customHeight="1">
      <c r="B561" s="17"/>
      <c r="C561" s="17"/>
      <c r="D561" s="17"/>
      <c r="E561" s="17"/>
      <c r="F561" s="204"/>
      <c r="G561" s="204"/>
      <c r="H561" s="204"/>
      <c r="I561" s="389"/>
      <c r="J561" s="389"/>
      <c r="K561" s="389"/>
      <c r="L561" s="192"/>
      <c r="M561" s="192"/>
      <c r="N561" s="192"/>
    </row>
    <row r="562" spans="1:20" s="472" customFormat="1" ht="45" hidden="1" customHeight="1">
      <c r="A562" s="478" t="s">
        <v>200</v>
      </c>
      <c r="B562" s="1263" t="s">
        <v>200</v>
      </c>
      <c r="C562" s="1264"/>
      <c r="D562" s="1264"/>
      <c r="E562" s="1264"/>
      <c r="F562" s="1264"/>
      <c r="G562" s="1264"/>
      <c r="H562" s="1265"/>
      <c r="I562" s="479">
        <f t="shared" ref="I562:N562" si="128">SUM(I543,I552,I556)</f>
        <v>315128</v>
      </c>
      <c r="J562" s="479">
        <f t="shared" si="128"/>
        <v>0</v>
      </c>
      <c r="K562" s="479">
        <f t="shared" si="128"/>
        <v>315128</v>
      </c>
      <c r="L562" s="480">
        <f t="shared" si="128"/>
        <v>315128</v>
      </c>
      <c r="M562" s="480">
        <f t="shared" si="128"/>
        <v>0</v>
      </c>
      <c r="N562" s="480">
        <f t="shared" si="128"/>
        <v>222128</v>
      </c>
      <c r="O562" s="470"/>
      <c r="P562" s="470"/>
      <c r="Q562" s="622"/>
      <c r="R562" s="470"/>
      <c r="S562" s="470"/>
      <c r="T562" s="471"/>
    </row>
    <row r="563" spans="1:20" s="51" customFormat="1" ht="39.950000000000003" hidden="1" customHeight="1">
      <c r="B563" s="98" t="s">
        <v>1285</v>
      </c>
      <c r="F563" s="580"/>
      <c r="G563" s="580"/>
      <c r="H563" s="580"/>
      <c r="I563" s="580"/>
      <c r="J563" s="580"/>
      <c r="K563" s="580"/>
      <c r="L563" s="581"/>
      <c r="M563" s="581"/>
      <c r="N563" s="581"/>
      <c r="O563" s="582"/>
      <c r="P563" s="582"/>
      <c r="Q563" s="312"/>
      <c r="R563" s="582"/>
      <c r="S563" s="582"/>
      <c r="T563" s="583"/>
    </row>
    <row r="564" spans="1:20" ht="65.25" hidden="1" customHeight="1">
      <c r="B564" s="1287" t="s">
        <v>1284</v>
      </c>
      <c r="C564" s="1287"/>
      <c r="D564" s="1287"/>
      <c r="E564" s="1287"/>
      <c r="F564" s="1287"/>
      <c r="G564" s="1287"/>
      <c r="H564" s="1287"/>
      <c r="I564" s="1287"/>
      <c r="J564" s="1287"/>
      <c r="K564" s="1287"/>
    </row>
    <row r="565" spans="1:20" ht="20.100000000000001" hidden="1" customHeight="1" thickBot="1"/>
    <row r="566" spans="1:20" ht="29.25" hidden="1" customHeight="1">
      <c r="C566" s="1204" t="s">
        <v>51</v>
      </c>
      <c r="D566" s="1204"/>
      <c r="E566" s="1204"/>
      <c r="F566" s="1204"/>
      <c r="H566" s="1243" t="s">
        <v>11</v>
      </c>
      <c r="I566" s="1244"/>
      <c r="J566" s="1244"/>
      <c r="K566" s="1245"/>
      <c r="L566" s="337"/>
      <c r="M566" s="337"/>
      <c r="N566" s="337"/>
    </row>
    <row r="567" spans="1:20" ht="29.25" hidden="1" customHeight="1">
      <c r="C567" s="1204" t="s">
        <v>52</v>
      </c>
      <c r="D567" s="1204"/>
      <c r="E567" s="1204"/>
      <c r="F567" s="1204"/>
      <c r="G567" s="44"/>
      <c r="H567" s="1208" t="s">
        <v>210</v>
      </c>
      <c r="I567" s="1209"/>
      <c r="J567" s="1209"/>
      <c r="K567" s="1210"/>
      <c r="L567" s="336"/>
      <c r="M567" s="336"/>
      <c r="N567" s="336"/>
    </row>
    <row r="568" spans="1:20" ht="29.25" hidden="1" customHeight="1">
      <c r="C568" s="1204" t="s">
        <v>50</v>
      </c>
      <c r="D568" s="1204"/>
      <c r="E568" s="1204"/>
      <c r="F568" s="1204"/>
      <c r="G568" s="44"/>
      <c r="H568" s="1211"/>
      <c r="I568" s="1212"/>
      <c r="J568" s="1212"/>
      <c r="K568" s="1213"/>
      <c r="L568" s="336"/>
      <c r="M568" s="336"/>
      <c r="N568" s="336"/>
    </row>
    <row r="569" spans="1:20" ht="36" hidden="1" customHeight="1">
      <c r="C569" s="1275"/>
      <c r="D569" s="1275"/>
      <c r="E569" s="1275"/>
      <c r="F569" s="1275"/>
      <c r="G569" s="44"/>
      <c r="H569" s="1211" t="s">
        <v>22</v>
      </c>
      <c r="I569" s="1212"/>
      <c r="J569" s="1212"/>
      <c r="K569" s="477">
        <f>SUM(K602)</f>
        <v>8600200</v>
      </c>
      <c r="L569" s="336"/>
      <c r="M569" s="336"/>
      <c r="N569" s="86"/>
    </row>
    <row r="570" spans="1:20" ht="30.75" hidden="1" customHeight="1" thickBot="1">
      <c r="C570" s="606"/>
      <c r="D570" s="606"/>
      <c r="E570" s="606"/>
      <c r="F570" s="43"/>
      <c r="G570" s="44"/>
      <c r="H570" s="1283" t="s">
        <v>13</v>
      </c>
      <c r="I570" s="1284"/>
      <c r="J570" s="1284"/>
      <c r="K570" s="1285"/>
      <c r="L570" s="336"/>
      <c r="M570" s="336"/>
      <c r="N570" s="336"/>
    </row>
    <row r="571" spans="1:20" ht="39.950000000000003" hidden="1" customHeight="1">
      <c r="C571" s="606"/>
      <c r="D571" s="606"/>
      <c r="E571" s="606"/>
      <c r="F571" s="43"/>
      <c r="G571" s="44"/>
      <c r="H571" s="20"/>
      <c r="I571" s="20"/>
      <c r="J571" s="20"/>
      <c r="K571" s="20"/>
      <c r="L571" s="20"/>
      <c r="M571" s="20"/>
      <c r="N571" s="20"/>
    </row>
    <row r="572" spans="1:20" ht="44.25" hidden="1" customHeight="1">
      <c r="A572" s="346" t="s">
        <v>1057</v>
      </c>
      <c r="B572" s="1226" t="s">
        <v>1058</v>
      </c>
      <c r="C572" s="1226"/>
      <c r="D572" s="1226"/>
      <c r="E572" s="1226"/>
      <c r="F572" s="1226"/>
      <c r="G572" s="1226"/>
      <c r="H572" s="1226"/>
      <c r="I572" s="1226"/>
      <c r="J572" s="1226"/>
      <c r="K572" s="1226"/>
      <c r="L572" s="346"/>
      <c r="M572" s="346"/>
      <c r="N572" s="346"/>
      <c r="O572" s="27"/>
      <c r="P572" s="27"/>
      <c r="Q572" s="620"/>
      <c r="R572" s="27"/>
      <c r="S572" s="27"/>
      <c r="T572" s="27"/>
    </row>
    <row r="573" spans="1:20" ht="20.100000000000001" hidden="1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</row>
    <row r="574" spans="1:20" s="500" customFormat="1" ht="90" hidden="1">
      <c r="A574" s="496" t="s">
        <v>14</v>
      </c>
      <c r="B574" s="497" t="s">
        <v>14</v>
      </c>
      <c r="C574" s="497" t="s">
        <v>38</v>
      </c>
      <c r="D574" s="497" t="s">
        <v>440</v>
      </c>
      <c r="E574" s="497" t="s">
        <v>16</v>
      </c>
      <c r="F574" s="497" t="s">
        <v>185</v>
      </c>
      <c r="G574" s="497" t="s">
        <v>178</v>
      </c>
      <c r="H574" s="497" t="s">
        <v>179</v>
      </c>
      <c r="I574" s="497" t="s">
        <v>180</v>
      </c>
      <c r="J574" s="497" t="s">
        <v>181</v>
      </c>
      <c r="K574" s="497" t="s">
        <v>200</v>
      </c>
      <c r="L574" s="496" t="s">
        <v>180</v>
      </c>
      <c r="M574" s="496" t="s">
        <v>181</v>
      </c>
      <c r="N574" s="496" t="s">
        <v>200</v>
      </c>
      <c r="O574" s="498"/>
      <c r="P574" s="498"/>
      <c r="Q574" s="622"/>
      <c r="R574" s="498"/>
      <c r="S574" s="498"/>
      <c r="T574" s="499"/>
    </row>
    <row r="575" spans="1:20" s="510" customFormat="1" ht="72" hidden="1" customHeight="1">
      <c r="A575" s="501"/>
      <c r="B575" s="502"/>
      <c r="C575" s="503" t="s">
        <v>273</v>
      </c>
      <c r="D575" s="504"/>
      <c r="E575" s="505"/>
      <c r="F575" s="504"/>
      <c r="G575" s="504"/>
      <c r="H575" s="504"/>
      <c r="I575" s="506">
        <f>L575</f>
        <v>1180000</v>
      </c>
      <c r="J575" s="506">
        <f>M575</f>
        <v>0</v>
      </c>
      <c r="K575" s="506">
        <f>SUM(I575,J575)</f>
        <v>1180000</v>
      </c>
      <c r="L575" s="507">
        <f>SUM(L576:L578)</f>
        <v>1180000</v>
      </c>
      <c r="M575" s="507">
        <f>SUM(M576:M578)</f>
        <v>0</v>
      </c>
      <c r="N575" s="507">
        <f t="shared" ref="N575:N583" si="129">SUM(L575,M575)</f>
        <v>1180000</v>
      </c>
      <c r="O575" s="508"/>
      <c r="P575" s="508"/>
      <c r="Q575" s="623"/>
      <c r="R575" s="508"/>
      <c r="S575" s="508"/>
      <c r="T575" s="509"/>
    </row>
    <row r="576" spans="1:20" ht="38.25" hidden="1" customHeight="1">
      <c r="A576" s="273" t="s">
        <v>583</v>
      </c>
      <c r="B576" s="481" t="s">
        <v>992</v>
      </c>
      <c r="C576" s="482" t="s">
        <v>497</v>
      </c>
      <c r="D576" s="483">
        <v>8100</v>
      </c>
      <c r="E576" s="484">
        <v>108288</v>
      </c>
      <c r="F576" s="524" t="s">
        <v>195</v>
      </c>
      <c r="G576" s="488" t="s">
        <v>18</v>
      </c>
      <c r="H576" s="489">
        <v>90</v>
      </c>
      <c r="I576" s="473">
        <f>INT(L576*$Q$139)</f>
        <v>500000</v>
      </c>
      <c r="J576" s="473"/>
      <c r="K576" s="473">
        <f>SUM(I576:J576)</f>
        <v>500000</v>
      </c>
      <c r="L576" s="167">
        <v>500000</v>
      </c>
      <c r="M576" s="167"/>
      <c r="N576" s="167">
        <f t="shared" si="129"/>
        <v>500000</v>
      </c>
      <c r="O576" s="405"/>
      <c r="P576" s="405"/>
    </row>
    <row r="577" spans="1:20" ht="55.5" hidden="1">
      <c r="A577" s="273" t="s">
        <v>580</v>
      </c>
      <c r="B577" s="481" t="s">
        <v>1146</v>
      </c>
      <c r="C577" s="482" t="s">
        <v>411</v>
      </c>
      <c r="D577" s="483">
        <v>8100</v>
      </c>
      <c r="E577" s="484">
        <v>108288</v>
      </c>
      <c r="F577" s="524" t="s">
        <v>195</v>
      </c>
      <c r="G577" s="488" t="s">
        <v>225</v>
      </c>
      <c r="H577" s="489">
        <v>15</v>
      </c>
      <c r="I577" s="473">
        <f>INT(L577*$Q$139)</f>
        <v>280000</v>
      </c>
      <c r="J577" s="473">
        <f>INT(M577*$R$139)</f>
        <v>0</v>
      </c>
      <c r="K577" s="473">
        <f>SUM(I577:J577)</f>
        <v>280000</v>
      </c>
      <c r="L577" s="167">
        <v>280000</v>
      </c>
      <c r="M577" s="167"/>
      <c r="N577" s="167">
        <f>SUM(L577,M577)</f>
        <v>280000</v>
      </c>
      <c r="O577" s="405"/>
      <c r="P577" s="405"/>
    </row>
    <row r="578" spans="1:20" ht="38.25" hidden="1" customHeight="1">
      <c r="A578" s="273" t="s">
        <v>582</v>
      </c>
      <c r="B578" s="481" t="s">
        <v>1119</v>
      </c>
      <c r="C578" s="482" t="s">
        <v>413</v>
      </c>
      <c r="D578" s="483">
        <v>8100</v>
      </c>
      <c r="E578" s="484">
        <v>108288</v>
      </c>
      <c r="F578" s="524" t="s">
        <v>195</v>
      </c>
      <c r="G578" s="488" t="s">
        <v>145</v>
      </c>
      <c r="H578" s="489">
        <v>25</v>
      </c>
      <c r="I578" s="473">
        <f>INT(L578*$Q$139)</f>
        <v>400000</v>
      </c>
      <c r="J578" s="473">
        <f>INT(M578*$R$139)</f>
        <v>0</v>
      </c>
      <c r="K578" s="473">
        <f>SUM(I578:J578)</f>
        <v>400000</v>
      </c>
      <c r="L578" s="167">
        <f>50000+100000+250000</f>
        <v>400000</v>
      </c>
      <c r="M578" s="167"/>
      <c r="N578" s="167">
        <f>SUM(L578,M578)</f>
        <v>400000</v>
      </c>
      <c r="O578" s="405"/>
      <c r="P578" s="405"/>
    </row>
    <row r="579" spans="1:20" s="510" customFormat="1" ht="72" hidden="1" customHeight="1">
      <c r="A579" s="501"/>
      <c r="B579" s="502"/>
      <c r="C579" s="503" t="s">
        <v>297</v>
      </c>
      <c r="D579" s="504"/>
      <c r="E579" s="505"/>
      <c r="F579" s="504"/>
      <c r="G579" s="504"/>
      <c r="H579" s="504"/>
      <c r="I579" s="506">
        <f>L579</f>
        <v>1962000</v>
      </c>
      <c r="J579" s="506">
        <f>M579</f>
        <v>0</v>
      </c>
      <c r="K579" s="506">
        <f>SUM(I579,J579)</f>
        <v>1962000</v>
      </c>
      <c r="L579" s="507">
        <f>SUM(L580:L584)</f>
        <v>1962000</v>
      </c>
      <c r="M579" s="507">
        <f>SUM(M580:M584)</f>
        <v>0</v>
      </c>
      <c r="N579" s="507">
        <f t="shared" si="129"/>
        <v>1962000</v>
      </c>
      <c r="O579" s="508"/>
      <c r="P579" s="508"/>
      <c r="Q579" s="623"/>
      <c r="R579" s="508"/>
      <c r="S579" s="508"/>
      <c r="T579" s="509"/>
    </row>
    <row r="580" spans="1:20" ht="38.25" hidden="1" customHeight="1">
      <c r="A580" s="273" t="s">
        <v>623</v>
      </c>
      <c r="B580" s="481" t="s">
        <v>993</v>
      </c>
      <c r="C580" s="482" t="s">
        <v>523</v>
      </c>
      <c r="D580" s="483">
        <v>8100</v>
      </c>
      <c r="E580" s="484">
        <v>108288</v>
      </c>
      <c r="F580" s="524" t="s">
        <v>195</v>
      </c>
      <c r="G580" s="488" t="s">
        <v>147</v>
      </c>
      <c r="H580" s="489">
        <v>80</v>
      </c>
      <c r="I580" s="473">
        <f>INT(L580*$Q$139)</f>
        <v>352000</v>
      </c>
      <c r="J580" s="473">
        <f>INT(M580*$R$139)</f>
        <v>0</v>
      </c>
      <c r="K580" s="473">
        <f>SUM(I580:J580)</f>
        <v>352000</v>
      </c>
      <c r="L580" s="167">
        <v>352000</v>
      </c>
      <c r="M580" s="167"/>
      <c r="N580" s="167">
        <f t="shared" si="129"/>
        <v>352000</v>
      </c>
      <c r="O580" s="405"/>
      <c r="P580" s="405"/>
    </row>
    <row r="581" spans="1:20" ht="38.25" hidden="1" customHeight="1">
      <c r="A581" s="273" t="s">
        <v>624</v>
      </c>
      <c r="B581" s="481" t="s">
        <v>1147</v>
      </c>
      <c r="C581" s="482" t="s">
        <v>229</v>
      </c>
      <c r="D581" s="483">
        <v>8100</v>
      </c>
      <c r="E581" s="484">
        <v>108288</v>
      </c>
      <c r="F581" s="524" t="s">
        <v>195</v>
      </c>
      <c r="G581" s="488" t="s">
        <v>143</v>
      </c>
      <c r="H581" s="489">
        <v>500</v>
      </c>
      <c r="I581" s="473">
        <f>INT(L581*$Q$139)</f>
        <v>400000</v>
      </c>
      <c r="J581" s="473">
        <f>INT(M581*$R$139)</f>
        <v>0</v>
      </c>
      <c r="K581" s="473">
        <f>SUM(I581:J581)</f>
        <v>400000</v>
      </c>
      <c r="L581" s="167">
        <f>250000+100000+50000</f>
        <v>400000</v>
      </c>
      <c r="M581" s="167"/>
      <c r="N581" s="167">
        <f t="shared" si="129"/>
        <v>400000</v>
      </c>
      <c r="O581" s="405"/>
      <c r="P581" s="405"/>
    </row>
    <row r="582" spans="1:20" ht="38.25" hidden="1" customHeight="1">
      <c r="A582" s="273" t="s">
        <v>693</v>
      </c>
      <c r="B582" s="481" t="s">
        <v>994</v>
      </c>
      <c r="C582" s="482" t="s">
        <v>230</v>
      </c>
      <c r="D582" s="483">
        <v>8100</v>
      </c>
      <c r="E582" s="484">
        <v>108288</v>
      </c>
      <c r="F582" s="524" t="s">
        <v>195</v>
      </c>
      <c r="G582" s="488" t="s">
        <v>148</v>
      </c>
      <c r="H582" s="489">
        <v>6</v>
      </c>
      <c r="I582" s="473">
        <f>INT(L582*$Q$139)</f>
        <v>690000</v>
      </c>
      <c r="J582" s="473">
        <f>INT(M582*$R$139)</f>
        <v>0</v>
      </c>
      <c r="K582" s="473">
        <f>SUM(I582:J582)</f>
        <v>690000</v>
      </c>
      <c r="L582" s="167">
        <v>690000</v>
      </c>
      <c r="M582" s="167"/>
      <c r="N582" s="167">
        <f t="shared" si="129"/>
        <v>690000</v>
      </c>
      <c r="O582" s="405"/>
      <c r="P582" s="405"/>
    </row>
    <row r="583" spans="1:20" ht="38.25" hidden="1" customHeight="1">
      <c r="A583" s="273" t="s">
        <v>894</v>
      </c>
      <c r="B583" s="481" t="s">
        <v>1148</v>
      </c>
      <c r="C583" s="482" t="s">
        <v>893</v>
      </c>
      <c r="D583" s="483">
        <v>8100</v>
      </c>
      <c r="E583" s="484">
        <v>108288</v>
      </c>
      <c r="F583" s="524" t="s">
        <v>195</v>
      </c>
      <c r="G583" s="488" t="s">
        <v>892</v>
      </c>
      <c r="H583" s="489">
        <v>40</v>
      </c>
      <c r="I583" s="473">
        <f>INT(L583*$Q$139)</f>
        <v>120000</v>
      </c>
      <c r="J583" s="473">
        <f>INT(M583*$R$139)</f>
        <v>0</v>
      </c>
      <c r="K583" s="473">
        <f>SUM(I583:J583)</f>
        <v>120000</v>
      </c>
      <c r="L583" s="167">
        <v>120000</v>
      </c>
      <c r="M583" s="167"/>
      <c r="N583" s="167">
        <f t="shared" si="129"/>
        <v>120000</v>
      </c>
      <c r="O583" s="405"/>
      <c r="P583" s="405"/>
    </row>
    <row r="584" spans="1:20" ht="38.25" hidden="1" customHeight="1">
      <c r="A584" s="273" t="s">
        <v>581</v>
      </c>
      <c r="B584" s="481" t="s">
        <v>1143</v>
      </c>
      <c r="C584" s="482" t="s">
        <v>412</v>
      </c>
      <c r="D584" s="483">
        <v>8100</v>
      </c>
      <c r="E584" s="484">
        <v>108288</v>
      </c>
      <c r="F584" s="524" t="s">
        <v>195</v>
      </c>
      <c r="G584" s="488" t="s">
        <v>43</v>
      </c>
      <c r="H584" s="489">
        <v>50</v>
      </c>
      <c r="I584" s="473">
        <f>INT(L584*$Q$139)</f>
        <v>400000</v>
      </c>
      <c r="J584" s="473">
        <f>INT(M584*$R$139)</f>
        <v>0</v>
      </c>
      <c r="K584" s="473">
        <f>SUM(I584:J584)</f>
        <v>400000</v>
      </c>
      <c r="L584" s="167">
        <f>100000+200000+100000</f>
        <v>400000</v>
      </c>
      <c r="M584" s="167"/>
      <c r="N584" s="167">
        <f>SUM(L584,M584)</f>
        <v>400000</v>
      </c>
      <c r="O584" s="405"/>
      <c r="P584" s="405"/>
    </row>
    <row r="585" spans="1:20" ht="35.1" hidden="1" customHeight="1">
      <c r="A585" s="147"/>
      <c r="B585" s="137"/>
      <c r="C585" s="136" t="s">
        <v>274</v>
      </c>
      <c r="D585" s="483">
        <v>8100</v>
      </c>
      <c r="E585" s="139"/>
      <c r="F585" s="138"/>
      <c r="G585" s="143"/>
      <c r="H585" s="137"/>
      <c r="I585" s="385">
        <f t="shared" ref="I585:N585" si="130">SUM(I586:I589)</f>
        <v>0</v>
      </c>
      <c r="J585" s="385">
        <f t="shared" si="130"/>
        <v>0</v>
      </c>
      <c r="K585" s="385">
        <f t="shared" si="130"/>
        <v>0</v>
      </c>
      <c r="L585" s="385">
        <f t="shared" si="130"/>
        <v>0</v>
      </c>
      <c r="M585" s="385">
        <f t="shared" si="130"/>
        <v>0</v>
      </c>
      <c r="N585" s="385">
        <f t="shared" si="130"/>
        <v>0</v>
      </c>
      <c r="P585" s="27"/>
      <c r="Q585" s="620"/>
      <c r="R585" s="27"/>
      <c r="S585" s="27"/>
      <c r="T585" s="27"/>
    </row>
    <row r="586" spans="1:20" ht="39.950000000000003" hidden="1" customHeight="1">
      <c r="A586" s="252" t="s">
        <v>851</v>
      </c>
      <c r="B586" s="252" t="s">
        <v>851</v>
      </c>
      <c r="C586" s="183" t="s">
        <v>497</v>
      </c>
      <c r="D586" s="483">
        <v>8100</v>
      </c>
      <c r="E586" s="229" t="s">
        <v>795</v>
      </c>
      <c r="F586" s="249" t="s">
        <v>195</v>
      </c>
      <c r="G586" s="237" t="s">
        <v>18</v>
      </c>
      <c r="H586" s="170">
        <v>70</v>
      </c>
      <c r="I586" s="386"/>
      <c r="J586" s="386">
        <f>INT(M586*$R$139)</f>
        <v>0</v>
      </c>
      <c r="K586" s="386">
        <f>SUM(I586:J586)</f>
        <v>0</v>
      </c>
      <c r="L586" s="172"/>
      <c r="M586" s="172"/>
      <c r="N586" s="172">
        <f>SUM(L586,M586)</f>
        <v>0</v>
      </c>
      <c r="P586" s="27"/>
      <c r="Q586" s="620"/>
      <c r="R586" s="27"/>
      <c r="S586" s="27"/>
      <c r="T586" s="27"/>
    </row>
    <row r="587" spans="1:20" ht="53.25" hidden="1" customHeight="1">
      <c r="A587" s="252" t="s">
        <v>852</v>
      </c>
      <c r="B587" s="252" t="s">
        <v>852</v>
      </c>
      <c r="C587" s="183" t="s">
        <v>414</v>
      </c>
      <c r="D587" s="483">
        <v>8100</v>
      </c>
      <c r="E587" s="229" t="s">
        <v>795</v>
      </c>
      <c r="F587" s="230" t="s">
        <v>195</v>
      </c>
      <c r="G587" s="237" t="s">
        <v>142</v>
      </c>
      <c r="H587" s="170">
        <v>50</v>
      </c>
      <c r="I587" s="386">
        <f>INT(L587*$Q$139)</f>
        <v>0</v>
      </c>
      <c r="J587" s="386">
        <f>INT(M587*$R$139)</f>
        <v>0</v>
      </c>
      <c r="K587" s="386">
        <f>SUM(I587:J587)</f>
        <v>0</v>
      </c>
      <c r="L587" s="184"/>
      <c r="M587" s="172"/>
      <c r="N587" s="172">
        <f>SUM(L587,M587)</f>
        <v>0</v>
      </c>
      <c r="P587" s="27"/>
      <c r="Q587" s="620"/>
      <c r="R587" s="27"/>
      <c r="S587" s="27"/>
      <c r="T587" s="27"/>
    </row>
    <row r="588" spans="1:20" ht="63" hidden="1" customHeight="1">
      <c r="A588" s="252" t="s">
        <v>853</v>
      </c>
      <c r="B588" s="252" t="s">
        <v>853</v>
      </c>
      <c r="C588" s="250" t="s">
        <v>47</v>
      </c>
      <c r="D588" s="483">
        <v>8100</v>
      </c>
      <c r="E588" s="229" t="s">
        <v>795</v>
      </c>
      <c r="F588" s="249" t="s">
        <v>195</v>
      </c>
      <c r="G588" s="237" t="s">
        <v>142</v>
      </c>
      <c r="H588" s="170">
        <v>50</v>
      </c>
      <c r="I588" s="386">
        <f>INT(L588*$Q$139)</f>
        <v>0</v>
      </c>
      <c r="J588" s="386">
        <f>INT(M588*$R$139)</f>
        <v>0</v>
      </c>
      <c r="K588" s="386">
        <f>SUM(I588:J588)</f>
        <v>0</v>
      </c>
      <c r="L588" s="175"/>
      <c r="M588" s="173"/>
      <c r="N588" s="172">
        <f>SUM(L588,M588)</f>
        <v>0</v>
      </c>
      <c r="P588" s="27"/>
      <c r="Q588" s="620"/>
      <c r="R588" s="27"/>
      <c r="S588" s="27"/>
      <c r="T588" s="27"/>
    </row>
    <row r="589" spans="1:20" ht="53.25" hidden="1" customHeight="1">
      <c r="A589" s="252" t="s">
        <v>854</v>
      </c>
      <c r="B589" s="252" t="s">
        <v>854</v>
      </c>
      <c r="C589" s="183" t="s">
        <v>943</v>
      </c>
      <c r="D589" s="483">
        <v>8100</v>
      </c>
      <c r="E589" s="229" t="s">
        <v>795</v>
      </c>
      <c r="F589" s="249" t="s">
        <v>195</v>
      </c>
      <c r="G589" s="237" t="s">
        <v>142</v>
      </c>
      <c r="H589" s="170">
        <v>50</v>
      </c>
      <c r="I589" s="386">
        <f>INT(L589*$Q$139)</f>
        <v>0</v>
      </c>
      <c r="J589" s="386">
        <f>INT(M589*$R$139)</f>
        <v>0</v>
      </c>
      <c r="K589" s="386">
        <f>SUM(I589:J589)</f>
        <v>0</v>
      </c>
      <c r="L589" s="175"/>
      <c r="M589" s="173"/>
      <c r="N589" s="172">
        <f>SUM(L589,M589)</f>
        <v>0</v>
      </c>
      <c r="P589" s="27"/>
      <c r="Q589" s="620"/>
      <c r="R589" s="27"/>
      <c r="S589" s="27"/>
      <c r="T589" s="27"/>
    </row>
    <row r="590" spans="1:20" s="510" customFormat="1" ht="72" hidden="1" customHeight="1">
      <c r="A590" s="501"/>
      <c r="B590" s="502"/>
      <c r="C590" s="503" t="s">
        <v>296</v>
      </c>
      <c r="D590" s="504"/>
      <c r="E590" s="505"/>
      <c r="F590" s="504"/>
      <c r="G590" s="504"/>
      <c r="H590" s="504"/>
      <c r="I590" s="506">
        <f>SUM(I591:I598)</f>
        <v>4928200</v>
      </c>
      <c r="J590" s="506">
        <f>SUM(J591:J598)</f>
        <v>0</v>
      </c>
      <c r="K590" s="506">
        <f>SUM(I590,J590)</f>
        <v>4928200</v>
      </c>
      <c r="L590" s="507">
        <f>SUM(L591:L598)</f>
        <v>4928200</v>
      </c>
      <c r="M590" s="507">
        <f>SUM(M591:M598)</f>
        <v>0</v>
      </c>
      <c r="N590" s="507">
        <f>SUM(L590,M590)</f>
        <v>4928200</v>
      </c>
      <c r="O590" s="508"/>
      <c r="P590" s="508"/>
      <c r="Q590" s="623"/>
      <c r="R590" s="508"/>
      <c r="S590" s="508"/>
      <c r="T590" s="509"/>
    </row>
    <row r="591" spans="1:20" s="82" customFormat="1" ht="38.25" hidden="1" customHeight="1">
      <c r="A591" s="273" t="s">
        <v>633</v>
      </c>
      <c r="B591" s="481" t="s">
        <v>1121</v>
      </c>
      <c r="C591" s="482" t="s">
        <v>1120</v>
      </c>
      <c r="D591" s="483">
        <v>8100</v>
      </c>
      <c r="E591" s="484">
        <v>108288</v>
      </c>
      <c r="F591" s="524" t="s">
        <v>195</v>
      </c>
      <c r="G591" s="488" t="s">
        <v>224</v>
      </c>
      <c r="H591" s="489">
        <v>100</v>
      </c>
      <c r="I591" s="473">
        <f t="shared" ref="I591:I598" si="131">INT(L591*$Q$139)</f>
        <v>260000</v>
      </c>
      <c r="J591" s="473">
        <f t="shared" ref="J591:J597" si="132">INT(M591*$R$139)</f>
        <v>0</v>
      </c>
      <c r="K591" s="473">
        <f t="shared" ref="K591:K597" si="133">SUM(I591:J591)</f>
        <v>260000</v>
      </c>
      <c r="L591" s="167">
        <v>260000</v>
      </c>
      <c r="M591" s="167"/>
      <c r="N591" s="167">
        <f t="shared" ref="N591:N598" si="134">SUM(L591,M591)</f>
        <v>260000</v>
      </c>
      <c r="O591" s="597"/>
      <c r="P591" s="597"/>
      <c r="Q591" s="628"/>
      <c r="R591" s="81"/>
      <c r="S591" s="81"/>
      <c r="T591" s="592"/>
    </row>
    <row r="592" spans="1:20" ht="38.25" hidden="1" customHeight="1">
      <c r="A592" s="273" t="s">
        <v>634</v>
      </c>
      <c r="B592" s="481" t="s">
        <v>1101</v>
      </c>
      <c r="C592" s="482" t="s">
        <v>498</v>
      </c>
      <c r="D592" s="483">
        <v>8100</v>
      </c>
      <c r="E592" s="484">
        <v>108288</v>
      </c>
      <c r="F592" s="524" t="s">
        <v>195</v>
      </c>
      <c r="G592" s="488" t="s">
        <v>147</v>
      </c>
      <c r="H592" s="489">
        <v>150</v>
      </c>
      <c r="I592" s="473">
        <f t="shared" si="131"/>
        <v>2105200</v>
      </c>
      <c r="J592" s="473">
        <f t="shared" si="132"/>
        <v>0</v>
      </c>
      <c r="K592" s="473">
        <f t="shared" si="133"/>
        <v>2105200</v>
      </c>
      <c r="L592" s="167">
        <v>2105200</v>
      </c>
      <c r="M592" s="167"/>
      <c r="N592" s="167">
        <f t="shared" si="134"/>
        <v>2105200</v>
      </c>
      <c r="O592" s="405"/>
      <c r="P592" s="405"/>
    </row>
    <row r="593" spans="1:20" ht="63.75" hidden="1" customHeight="1">
      <c r="A593" s="273" t="s">
        <v>635</v>
      </c>
      <c r="B593" s="481" t="s">
        <v>1122</v>
      </c>
      <c r="C593" s="482" t="s">
        <v>231</v>
      </c>
      <c r="D593" s="483">
        <v>8100</v>
      </c>
      <c r="E593" s="484">
        <v>108288</v>
      </c>
      <c r="F593" s="524" t="s">
        <v>195</v>
      </c>
      <c r="G593" s="488" t="s">
        <v>225</v>
      </c>
      <c r="H593" s="489">
        <v>1</v>
      </c>
      <c r="I593" s="473">
        <f t="shared" si="131"/>
        <v>280000</v>
      </c>
      <c r="J593" s="473">
        <f t="shared" si="132"/>
        <v>0</v>
      </c>
      <c r="K593" s="473">
        <f t="shared" si="133"/>
        <v>280000</v>
      </c>
      <c r="L593" s="167">
        <v>280000</v>
      </c>
      <c r="M593" s="167"/>
      <c r="N593" s="167">
        <f t="shared" si="134"/>
        <v>280000</v>
      </c>
      <c r="O593" s="405"/>
      <c r="P593" s="405"/>
    </row>
    <row r="594" spans="1:20" ht="59.25" hidden="1" customHeight="1">
      <c r="A594" s="273" t="s">
        <v>636</v>
      </c>
      <c r="B594" s="481" t="s">
        <v>995</v>
      </c>
      <c r="C594" s="490" t="s">
        <v>48</v>
      </c>
      <c r="D594" s="483">
        <v>8100</v>
      </c>
      <c r="E594" s="484">
        <v>108288</v>
      </c>
      <c r="F594" s="524" t="s">
        <v>195</v>
      </c>
      <c r="G594" s="488" t="s">
        <v>56</v>
      </c>
      <c r="H594" s="489">
        <v>70</v>
      </c>
      <c r="I594" s="473">
        <f t="shared" si="131"/>
        <v>250000</v>
      </c>
      <c r="J594" s="473">
        <f t="shared" si="132"/>
        <v>0</v>
      </c>
      <c r="K594" s="473">
        <f t="shared" si="133"/>
        <v>250000</v>
      </c>
      <c r="L594" s="167">
        <v>250000</v>
      </c>
      <c r="M594" s="167"/>
      <c r="N594" s="167">
        <f t="shared" si="134"/>
        <v>250000</v>
      </c>
      <c r="O594" s="405"/>
      <c r="P594" s="405"/>
    </row>
    <row r="595" spans="1:20" ht="38.25" hidden="1" customHeight="1">
      <c r="A595" s="273" t="s">
        <v>637</v>
      </c>
      <c r="B595" s="481" t="s">
        <v>1144</v>
      </c>
      <c r="C595" s="482" t="s">
        <v>499</v>
      </c>
      <c r="D595" s="483">
        <v>8100</v>
      </c>
      <c r="E595" s="484">
        <v>108288</v>
      </c>
      <c r="F595" s="524" t="s">
        <v>195</v>
      </c>
      <c r="G595" s="488" t="s">
        <v>147</v>
      </c>
      <c r="H595" s="489">
        <v>200</v>
      </c>
      <c r="I595" s="473">
        <f t="shared" si="131"/>
        <v>833000</v>
      </c>
      <c r="J595" s="473">
        <f t="shared" si="132"/>
        <v>0</v>
      </c>
      <c r="K595" s="473">
        <f t="shared" si="133"/>
        <v>833000</v>
      </c>
      <c r="L595" s="167">
        <v>833000</v>
      </c>
      <c r="M595" s="167"/>
      <c r="N595" s="167">
        <f t="shared" si="134"/>
        <v>833000</v>
      </c>
      <c r="O595" s="405"/>
      <c r="P595" s="405"/>
    </row>
    <row r="596" spans="1:20" ht="38.25" hidden="1" customHeight="1">
      <c r="A596" s="273" t="s">
        <v>638</v>
      </c>
      <c r="B596" s="481" t="s">
        <v>996</v>
      </c>
      <c r="C596" s="482" t="s">
        <v>415</v>
      </c>
      <c r="D596" s="483">
        <v>8100</v>
      </c>
      <c r="E596" s="484">
        <v>108288</v>
      </c>
      <c r="F596" s="524" t="s">
        <v>195</v>
      </c>
      <c r="G596" s="488" t="s">
        <v>56</v>
      </c>
      <c r="H596" s="489">
        <v>70</v>
      </c>
      <c r="I596" s="473">
        <f t="shared" si="131"/>
        <v>250000</v>
      </c>
      <c r="J596" s="473">
        <f t="shared" si="132"/>
        <v>0</v>
      </c>
      <c r="K596" s="473">
        <f t="shared" si="133"/>
        <v>250000</v>
      </c>
      <c r="L596" s="167">
        <f>100000+150000</f>
        <v>250000</v>
      </c>
      <c r="M596" s="167"/>
      <c r="N596" s="167">
        <f t="shared" si="134"/>
        <v>250000</v>
      </c>
      <c r="O596" s="405"/>
      <c r="P596" s="405"/>
    </row>
    <row r="597" spans="1:20" ht="38.25" hidden="1" customHeight="1">
      <c r="A597" s="273" t="s">
        <v>639</v>
      </c>
      <c r="B597" s="481" t="s">
        <v>1123</v>
      </c>
      <c r="C597" s="482" t="s">
        <v>500</v>
      </c>
      <c r="D597" s="483">
        <v>8100</v>
      </c>
      <c r="E597" s="484">
        <v>108288</v>
      </c>
      <c r="F597" s="524" t="s">
        <v>195</v>
      </c>
      <c r="G597" s="488" t="s">
        <v>147</v>
      </c>
      <c r="H597" s="489">
        <v>75</v>
      </c>
      <c r="I597" s="473">
        <f t="shared" si="131"/>
        <v>650000</v>
      </c>
      <c r="J597" s="473">
        <f t="shared" si="132"/>
        <v>0</v>
      </c>
      <c r="K597" s="473">
        <f t="shared" si="133"/>
        <v>650000</v>
      </c>
      <c r="L597" s="167">
        <v>650000</v>
      </c>
      <c r="M597" s="167"/>
      <c r="N597" s="167">
        <f t="shared" si="134"/>
        <v>650000</v>
      </c>
      <c r="O597" s="405"/>
      <c r="P597" s="405"/>
    </row>
    <row r="598" spans="1:20" ht="38.25" hidden="1" customHeight="1">
      <c r="A598" s="273" t="s">
        <v>896</v>
      </c>
      <c r="B598" s="481" t="s">
        <v>1145</v>
      </c>
      <c r="C598" s="482" t="s">
        <v>1327</v>
      </c>
      <c r="D598" s="483">
        <v>8100</v>
      </c>
      <c r="E598" s="484">
        <v>108288</v>
      </c>
      <c r="F598" s="524" t="s">
        <v>195</v>
      </c>
      <c r="G598" s="488" t="s">
        <v>895</v>
      </c>
      <c r="H598" s="489">
        <v>10</v>
      </c>
      <c r="I598" s="473">
        <f t="shared" si="131"/>
        <v>300000</v>
      </c>
      <c r="J598" s="473">
        <f>INT(M598*$R$139)</f>
        <v>0</v>
      </c>
      <c r="K598" s="473">
        <f>SUM(I598:J598)</f>
        <v>300000</v>
      </c>
      <c r="L598" s="167">
        <v>300000</v>
      </c>
      <c r="M598" s="167"/>
      <c r="N598" s="167">
        <f t="shared" si="134"/>
        <v>300000</v>
      </c>
      <c r="O598" s="405"/>
      <c r="P598" s="405"/>
    </row>
    <row r="599" spans="1:20" s="510" customFormat="1" ht="72" hidden="1" customHeight="1">
      <c r="A599" s="501"/>
      <c r="B599" s="502"/>
      <c r="C599" s="503" t="s">
        <v>720</v>
      </c>
      <c r="D599" s="504"/>
      <c r="E599" s="505"/>
      <c r="F599" s="504"/>
      <c r="G599" s="504"/>
      <c r="H599" s="504"/>
      <c r="I599" s="506">
        <f>I600</f>
        <v>530000</v>
      </c>
      <c r="J599" s="506"/>
      <c r="K599" s="506">
        <f>K600</f>
        <v>530000</v>
      </c>
      <c r="L599" s="507">
        <f>L600</f>
        <v>530000</v>
      </c>
      <c r="M599" s="507"/>
      <c r="N599" s="507">
        <f>N600</f>
        <v>530000</v>
      </c>
      <c r="O599" s="508"/>
      <c r="P599" s="508"/>
      <c r="Q599" s="623"/>
      <c r="R599" s="508"/>
      <c r="S599" s="508"/>
      <c r="T599" s="509"/>
    </row>
    <row r="600" spans="1:20" ht="38.25" hidden="1" customHeight="1">
      <c r="A600" s="273" t="s">
        <v>752</v>
      </c>
      <c r="B600" s="481" t="s">
        <v>752</v>
      </c>
      <c r="C600" s="482" t="s">
        <v>371</v>
      </c>
      <c r="D600" s="484" t="s">
        <v>1321</v>
      </c>
      <c r="E600" s="484" t="s">
        <v>791</v>
      </c>
      <c r="F600" s="524" t="s">
        <v>195</v>
      </c>
      <c r="G600" s="488" t="s">
        <v>255</v>
      </c>
      <c r="H600" s="489">
        <v>60</v>
      </c>
      <c r="I600" s="473">
        <f>L600</f>
        <v>530000</v>
      </c>
      <c r="J600" s="473">
        <f>INT(M600*$R$139)</f>
        <v>0</v>
      </c>
      <c r="K600" s="473">
        <f>SUM(I600:J600)</f>
        <v>530000</v>
      </c>
      <c r="L600" s="167">
        <v>530000</v>
      </c>
      <c r="M600" s="167"/>
      <c r="N600" s="167">
        <f>L600+M600</f>
        <v>530000</v>
      </c>
      <c r="O600" s="405"/>
      <c r="P600" s="405"/>
    </row>
    <row r="601" spans="1:20" ht="39.950000000000003" hidden="1" customHeight="1">
      <c r="B601" s="17"/>
      <c r="C601" s="17"/>
      <c r="D601" s="17"/>
      <c r="E601" s="17"/>
      <c r="F601" s="204"/>
      <c r="G601" s="204"/>
      <c r="H601" s="204"/>
      <c r="I601" s="389"/>
      <c r="J601" s="389"/>
      <c r="K601" s="389"/>
      <c r="L601" s="192"/>
      <c r="M601" s="192"/>
      <c r="N601" s="236"/>
      <c r="O601" s="192"/>
    </row>
    <row r="602" spans="1:20" s="472" customFormat="1" ht="45" hidden="1" customHeight="1">
      <c r="A602" s="478" t="s">
        <v>200</v>
      </c>
      <c r="B602" s="1263" t="s">
        <v>200</v>
      </c>
      <c r="C602" s="1264"/>
      <c r="D602" s="1264"/>
      <c r="E602" s="1264"/>
      <c r="F602" s="1264"/>
      <c r="G602" s="1264"/>
      <c r="H602" s="1265"/>
      <c r="I602" s="479">
        <f t="shared" ref="I602:N602" si="135">SUM(I575,I585,I579,I599,I590)</f>
        <v>8600200</v>
      </c>
      <c r="J602" s="479">
        <f t="shared" si="135"/>
        <v>0</v>
      </c>
      <c r="K602" s="479">
        <f t="shared" si="135"/>
        <v>8600200</v>
      </c>
      <c r="L602" s="480">
        <f t="shared" si="135"/>
        <v>8600200</v>
      </c>
      <c r="M602" s="480">
        <f t="shared" si="135"/>
        <v>0</v>
      </c>
      <c r="N602" s="480">
        <f t="shared" si="135"/>
        <v>8600200</v>
      </c>
      <c r="O602" s="470"/>
      <c r="P602" s="470"/>
      <c r="Q602" s="622"/>
      <c r="R602" s="470"/>
      <c r="S602" s="470"/>
      <c r="T602" s="471"/>
    </row>
    <row r="603" spans="1:20" ht="38.25" hidden="1" customHeight="1">
      <c r="A603" s="25" t="s">
        <v>268</v>
      </c>
      <c r="B603" s="1292" t="s">
        <v>1232</v>
      </c>
      <c r="C603" s="1292"/>
      <c r="D603" s="1292"/>
      <c r="E603" s="1292"/>
      <c r="F603" s="1292"/>
      <c r="G603" s="1292"/>
      <c r="H603" s="1292"/>
      <c r="I603" s="1292"/>
      <c r="J603" s="1292"/>
      <c r="K603" s="1292"/>
      <c r="L603" s="338"/>
      <c r="M603" s="338"/>
      <c r="N603" s="602"/>
    </row>
    <row r="604" spans="1:20" s="17" customFormat="1" ht="30" hidden="1" customHeight="1">
      <c r="A604" s="99"/>
      <c r="B604" s="99"/>
      <c r="C604" s="1290"/>
      <c r="D604" s="1290"/>
      <c r="E604" s="1290"/>
      <c r="F604" s="1290"/>
      <c r="G604" s="1290"/>
      <c r="H604" s="1290"/>
      <c r="I604" s="1290"/>
      <c r="J604" s="1290"/>
      <c r="K604" s="1290"/>
      <c r="L604" s="1290"/>
      <c r="M604" s="1290"/>
      <c r="N604" s="1290"/>
      <c r="O604" s="28"/>
      <c r="P604" s="28"/>
      <c r="Q604" s="312"/>
      <c r="R604" s="28"/>
      <c r="S604" s="28"/>
      <c r="T604" s="29"/>
    </row>
    <row r="605" spans="1:20" s="17" customFormat="1" ht="5.25" hidden="1" customHeight="1">
      <c r="A605" s="41"/>
      <c r="B605" s="41"/>
      <c r="C605" s="27"/>
      <c r="D605" s="27"/>
      <c r="E605" s="27"/>
      <c r="F605" s="11"/>
      <c r="G605" s="11"/>
      <c r="H605" s="11"/>
      <c r="I605" s="11"/>
      <c r="J605" s="11"/>
      <c r="K605" s="11"/>
      <c r="L605" s="27"/>
      <c r="M605" s="27"/>
      <c r="N605" s="27"/>
      <c r="O605" s="28"/>
      <c r="P605" s="28"/>
      <c r="Q605" s="312"/>
      <c r="R605" s="28"/>
      <c r="S605" s="28"/>
      <c r="T605" s="29"/>
    </row>
    <row r="606" spans="1:20" ht="20.100000000000001" hidden="1" customHeight="1" thickBot="1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2"/>
      <c r="N606" s="2"/>
    </row>
    <row r="607" spans="1:20" ht="29.25" hidden="1" customHeight="1">
      <c r="A607" s="59"/>
      <c r="B607" s="59"/>
      <c r="C607" s="1204" t="s">
        <v>51</v>
      </c>
      <c r="D607" s="1204"/>
      <c r="E607" s="1204"/>
      <c r="F607" s="1204"/>
      <c r="H607" s="1243" t="s">
        <v>11</v>
      </c>
      <c r="I607" s="1244"/>
      <c r="J607" s="1244"/>
      <c r="K607" s="1245"/>
      <c r="L607" s="337"/>
      <c r="M607" s="337"/>
      <c r="N607" s="337"/>
    </row>
    <row r="608" spans="1:20" ht="29.25" hidden="1" customHeight="1">
      <c r="A608" s="59"/>
      <c r="B608" s="59"/>
      <c r="C608" s="1204" t="s">
        <v>52</v>
      </c>
      <c r="D608" s="1204"/>
      <c r="E608" s="1204"/>
      <c r="F608" s="1204"/>
      <c r="H608" s="1208" t="s">
        <v>103</v>
      </c>
      <c r="I608" s="1209"/>
      <c r="J608" s="1209"/>
      <c r="K608" s="1210"/>
      <c r="L608" s="336"/>
      <c r="M608" s="336"/>
      <c r="N608" s="336"/>
    </row>
    <row r="609" spans="1:20" ht="29.25" hidden="1" customHeight="1">
      <c r="A609" s="27"/>
      <c r="B609" s="27"/>
      <c r="C609" s="1204" t="s">
        <v>50</v>
      </c>
      <c r="D609" s="1204"/>
      <c r="E609" s="1204"/>
      <c r="F609" s="1204"/>
      <c r="H609" s="1211"/>
      <c r="I609" s="1212"/>
      <c r="J609" s="1212"/>
      <c r="K609" s="1213"/>
      <c r="L609" s="336"/>
      <c r="M609" s="336"/>
      <c r="N609" s="336"/>
    </row>
    <row r="610" spans="1:20" ht="39.950000000000003" hidden="1" customHeight="1">
      <c r="A610" s="27"/>
      <c r="B610" s="27"/>
      <c r="C610" s="11"/>
      <c r="D610" s="11"/>
      <c r="E610" s="11"/>
      <c r="F610" s="50"/>
      <c r="H610" s="1211" t="s">
        <v>22</v>
      </c>
      <c r="I610" s="1212"/>
      <c r="J610" s="1212"/>
      <c r="K610" s="477">
        <f>K651</f>
        <v>5524598</v>
      </c>
      <c r="L610" s="336"/>
      <c r="M610" s="336"/>
      <c r="N610" s="86"/>
    </row>
    <row r="611" spans="1:20" ht="43.5" hidden="1" customHeight="1" thickBot="1">
      <c r="A611" s="27"/>
      <c r="B611" s="27"/>
      <c r="C611" s="11"/>
      <c r="D611" s="11"/>
      <c r="E611" s="11"/>
      <c r="F611" s="50"/>
      <c r="H611" s="1283" t="s">
        <v>13</v>
      </c>
      <c r="I611" s="1284"/>
      <c r="J611" s="1284"/>
      <c r="K611" s="1285"/>
      <c r="L611" s="336"/>
      <c r="M611" s="336"/>
      <c r="N611" s="336"/>
    </row>
    <row r="612" spans="1:20" ht="24.95" hidden="1" customHeight="1">
      <c r="A612" s="27"/>
      <c r="B612" s="27"/>
      <c r="C612" s="11"/>
      <c r="D612" s="11"/>
      <c r="E612" s="11"/>
      <c r="F612" s="50"/>
      <c r="L612" s="15"/>
      <c r="M612" s="15"/>
      <c r="N612" s="9"/>
    </row>
    <row r="613" spans="1:20" ht="44.25" hidden="1" customHeight="1">
      <c r="A613" s="346" t="s">
        <v>1057</v>
      </c>
      <c r="B613" s="1226" t="s">
        <v>1037</v>
      </c>
      <c r="C613" s="1226"/>
      <c r="D613" s="1226"/>
      <c r="E613" s="1226"/>
      <c r="F613" s="1226"/>
      <c r="G613" s="1226"/>
      <c r="H613" s="1226"/>
      <c r="I613" s="1226"/>
      <c r="J613" s="1226"/>
      <c r="K613" s="1226"/>
      <c r="L613" s="346"/>
      <c r="M613" s="346"/>
      <c r="N613" s="346"/>
      <c r="O613" s="27"/>
      <c r="P613" s="27"/>
      <c r="Q613" s="620"/>
      <c r="R613" s="27"/>
      <c r="S613" s="27"/>
      <c r="T613" s="27"/>
    </row>
    <row r="614" spans="1:20" s="17" customFormat="1" ht="24.95" hidden="1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28"/>
      <c r="P614" s="28"/>
      <c r="Q614" s="312"/>
      <c r="R614" s="28"/>
      <c r="S614" s="28"/>
      <c r="T614" s="29"/>
    </row>
    <row r="615" spans="1:20" s="500" customFormat="1" ht="90" hidden="1">
      <c r="A615" s="496" t="s">
        <v>14</v>
      </c>
      <c r="B615" s="497" t="s">
        <v>14</v>
      </c>
      <c r="C615" s="497" t="s">
        <v>37</v>
      </c>
      <c r="D615" s="497" t="s">
        <v>440</v>
      </c>
      <c r="E615" s="497" t="s">
        <v>16</v>
      </c>
      <c r="F615" s="497" t="s">
        <v>185</v>
      </c>
      <c r="G615" s="497" t="s">
        <v>178</v>
      </c>
      <c r="H615" s="497" t="s">
        <v>179</v>
      </c>
      <c r="I615" s="497" t="s">
        <v>180</v>
      </c>
      <c r="J615" s="497" t="s">
        <v>181</v>
      </c>
      <c r="K615" s="497" t="s">
        <v>200</v>
      </c>
      <c r="L615" s="496" t="s">
        <v>180</v>
      </c>
      <c r="M615" s="496" t="s">
        <v>181</v>
      </c>
      <c r="N615" s="496" t="s">
        <v>200</v>
      </c>
      <c r="O615" s="498"/>
      <c r="P615" s="498"/>
      <c r="Q615" s="622"/>
      <c r="R615" s="498"/>
      <c r="S615" s="498"/>
      <c r="T615" s="499"/>
    </row>
    <row r="616" spans="1:20" s="510" customFormat="1" ht="72" hidden="1" customHeight="1">
      <c r="A616" s="501"/>
      <c r="B616" s="502"/>
      <c r="C616" s="503" t="s">
        <v>273</v>
      </c>
      <c r="D616" s="504"/>
      <c r="E616" s="505"/>
      <c r="F616" s="504"/>
      <c r="G616" s="504"/>
      <c r="H616" s="504"/>
      <c r="I616" s="506">
        <f>SUM(I617)</f>
        <v>382797</v>
      </c>
      <c r="J616" s="506">
        <f>SUM(J617)</f>
        <v>0</v>
      </c>
      <c r="K616" s="506">
        <f>I616+J616</f>
        <v>382797</v>
      </c>
      <c r="L616" s="507">
        <f>SUM(L617)</f>
        <v>382797</v>
      </c>
      <c r="M616" s="507">
        <f>SUM(M617)</f>
        <v>0</v>
      </c>
      <c r="N616" s="507">
        <f>SUM(N617)</f>
        <v>382797</v>
      </c>
      <c r="O616" s="508"/>
      <c r="P616" s="508"/>
      <c r="Q616" s="623"/>
      <c r="R616" s="508"/>
      <c r="S616" s="508"/>
      <c r="T616" s="509"/>
    </row>
    <row r="617" spans="1:20" ht="38.25" hidden="1" customHeight="1">
      <c r="A617" s="273" t="s">
        <v>584</v>
      </c>
      <c r="B617" s="481" t="s">
        <v>1149</v>
      </c>
      <c r="C617" s="482" t="s">
        <v>60</v>
      </c>
      <c r="D617" s="483">
        <v>8100</v>
      </c>
      <c r="E617" s="484">
        <v>108288</v>
      </c>
      <c r="F617" s="524" t="s">
        <v>184</v>
      </c>
      <c r="G617" s="488" t="s">
        <v>148</v>
      </c>
      <c r="H617" s="489">
        <v>25</v>
      </c>
      <c r="I617" s="473">
        <f>INT(L617*$Q$139)</f>
        <v>382797</v>
      </c>
      <c r="J617" s="473">
        <f>INT(M617*$R$139)</f>
        <v>0</v>
      </c>
      <c r="K617" s="473">
        <f>SUM(I617:J617)</f>
        <v>382797</v>
      </c>
      <c r="L617" s="167">
        <f>367797+15000</f>
        <v>382797</v>
      </c>
      <c r="M617" s="167"/>
      <c r="N617" s="167">
        <f>SUM(L617,M617)</f>
        <v>382797</v>
      </c>
      <c r="O617" s="405"/>
      <c r="P617" s="405"/>
    </row>
    <row r="618" spans="1:20" s="510" customFormat="1" ht="72" hidden="1" customHeight="1">
      <c r="A618" s="501"/>
      <c r="B618" s="502"/>
      <c r="C618" s="503" t="s">
        <v>298</v>
      </c>
      <c r="D618" s="504"/>
      <c r="E618" s="505"/>
      <c r="F618" s="504"/>
      <c r="G618" s="504"/>
      <c r="H618" s="504"/>
      <c r="I618" s="506">
        <f>L618</f>
        <v>2030000</v>
      </c>
      <c r="J618" s="506">
        <f>M618</f>
        <v>0</v>
      </c>
      <c r="K618" s="506">
        <f>I618+J618</f>
        <v>2030000</v>
      </c>
      <c r="L618" s="507">
        <f>SUM(L619:L629)</f>
        <v>2030000</v>
      </c>
      <c r="M618" s="507">
        <f>SUM(M619:M629)</f>
        <v>0</v>
      </c>
      <c r="N618" s="507">
        <f>SUM(N619:N629)</f>
        <v>2030000</v>
      </c>
      <c r="O618" s="508"/>
      <c r="P618" s="508"/>
      <c r="Q618" s="623"/>
      <c r="R618" s="508"/>
      <c r="S618" s="508"/>
      <c r="T618" s="509"/>
    </row>
    <row r="619" spans="1:20" ht="38.25" hidden="1" customHeight="1">
      <c r="A619" s="273" t="s">
        <v>618</v>
      </c>
      <c r="B619" s="481" t="s">
        <v>1150</v>
      </c>
      <c r="C619" s="482" t="s">
        <v>25</v>
      </c>
      <c r="D619" s="483">
        <v>8100</v>
      </c>
      <c r="E619" s="484">
        <v>108288</v>
      </c>
      <c r="F619" s="524" t="s">
        <v>184</v>
      </c>
      <c r="G619" s="488" t="s">
        <v>255</v>
      </c>
      <c r="H619" s="489">
        <v>350</v>
      </c>
      <c r="I619" s="473">
        <f t="shared" ref="I619:I626" si="136">INT(L619*$Q$139)</f>
        <v>720000</v>
      </c>
      <c r="J619" s="473">
        <f t="shared" ref="J619:J626" si="137">INT(M619*$R$139)</f>
        <v>0</v>
      </c>
      <c r="K619" s="473">
        <f t="shared" ref="K619:K626" si="138">SUM(I619:J619)</f>
        <v>720000</v>
      </c>
      <c r="L619" s="167">
        <v>720000</v>
      </c>
      <c r="M619" s="167"/>
      <c r="N619" s="167">
        <f t="shared" ref="N619:N626" si="139">SUM(L619,M619)</f>
        <v>720000</v>
      </c>
      <c r="O619" s="405"/>
      <c r="P619" s="405"/>
    </row>
    <row r="620" spans="1:20" ht="38.25" hidden="1" customHeight="1">
      <c r="A620" s="273" t="s">
        <v>619</v>
      </c>
      <c r="B620" s="481" t="s">
        <v>1151</v>
      </c>
      <c r="C620" s="482" t="s">
        <v>524</v>
      </c>
      <c r="D620" s="483">
        <v>8100</v>
      </c>
      <c r="E620" s="484">
        <v>108288</v>
      </c>
      <c r="F620" s="524" t="s">
        <v>184</v>
      </c>
      <c r="G620" s="488" t="s">
        <v>147</v>
      </c>
      <c r="H620" s="489">
        <v>800</v>
      </c>
      <c r="I620" s="473">
        <f t="shared" si="136"/>
        <v>35000</v>
      </c>
      <c r="J620" s="473">
        <f t="shared" si="137"/>
        <v>0</v>
      </c>
      <c r="K620" s="473">
        <f t="shared" si="138"/>
        <v>35000</v>
      </c>
      <c r="L620" s="167">
        <v>35000</v>
      </c>
      <c r="M620" s="167"/>
      <c r="N620" s="167">
        <f t="shared" si="139"/>
        <v>35000</v>
      </c>
      <c r="O620" s="405"/>
      <c r="P620" s="405"/>
    </row>
    <row r="621" spans="1:20" ht="38.25" hidden="1" customHeight="1">
      <c r="A621" s="273" t="s">
        <v>620</v>
      </c>
      <c r="B621" s="481" t="s">
        <v>1152</v>
      </c>
      <c r="C621" s="482" t="s">
        <v>300</v>
      </c>
      <c r="D621" s="483">
        <v>8100</v>
      </c>
      <c r="E621" s="484">
        <v>108288</v>
      </c>
      <c r="F621" s="524" t="s">
        <v>184</v>
      </c>
      <c r="G621" s="488" t="s">
        <v>59</v>
      </c>
      <c r="H621" s="489">
        <v>800</v>
      </c>
      <c r="I621" s="473">
        <f t="shared" si="136"/>
        <v>310000</v>
      </c>
      <c r="J621" s="473">
        <f t="shared" si="137"/>
        <v>0</v>
      </c>
      <c r="K621" s="473">
        <f t="shared" si="138"/>
        <v>310000</v>
      </c>
      <c r="L621" s="167">
        <v>310000</v>
      </c>
      <c r="M621" s="167"/>
      <c r="N621" s="167">
        <f t="shared" si="139"/>
        <v>310000</v>
      </c>
      <c r="O621" s="405"/>
      <c r="P621" s="405"/>
    </row>
    <row r="622" spans="1:20" ht="38.25" hidden="1" customHeight="1">
      <c r="A622" s="273" t="s">
        <v>621</v>
      </c>
      <c r="B622" s="481" t="s">
        <v>1153</v>
      </c>
      <c r="C622" s="482" t="s">
        <v>301</v>
      </c>
      <c r="D622" s="483">
        <v>8100</v>
      </c>
      <c r="E622" s="484">
        <v>108288</v>
      </c>
      <c r="F622" s="524" t="s">
        <v>184</v>
      </c>
      <c r="G622" s="488" t="s">
        <v>148</v>
      </c>
      <c r="H622" s="489">
        <v>500</v>
      </c>
      <c r="I622" s="473">
        <f t="shared" si="136"/>
        <v>10000</v>
      </c>
      <c r="J622" s="473">
        <f t="shared" si="137"/>
        <v>0</v>
      </c>
      <c r="K622" s="473">
        <f t="shared" si="138"/>
        <v>10000</v>
      </c>
      <c r="L622" s="167">
        <v>10000</v>
      </c>
      <c r="M622" s="167"/>
      <c r="N622" s="167">
        <f t="shared" si="139"/>
        <v>10000</v>
      </c>
      <c r="O622" s="405"/>
      <c r="P622" s="405"/>
    </row>
    <row r="623" spans="1:20" ht="38.25" hidden="1" customHeight="1">
      <c r="A623" s="273" t="s">
        <v>622</v>
      </c>
      <c r="B623" s="481" t="s">
        <v>1154</v>
      </c>
      <c r="C623" s="482" t="s">
        <v>320</v>
      </c>
      <c r="D623" s="483">
        <v>8100</v>
      </c>
      <c r="E623" s="484">
        <v>108288</v>
      </c>
      <c r="F623" s="524" t="s">
        <v>184</v>
      </c>
      <c r="G623" s="488" t="s">
        <v>215</v>
      </c>
      <c r="H623" s="489">
        <v>150</v>
      </c>
      <c r="I623" s="473">
        <f t="shared" si="136"/>
        <v>85000</v>
      </c>
      <c r="J623" s="473">
        <f t="shared" si="137"/>
        <v>0</v>
      </c>
      <c r="K623" s="473">
        <f t="shared" si="138"/>
        <v>85000</v>
      </c>
      <c r="L623" s="167">
        <f>25000+60000</f>
        <v>85000</v>
      </c>
      <c r="M623" s="167"/>
      <c r="N623" s="167">
        <f t="shared" si="139"/>
        <v>85000</v>
      </c>
      <c r="O623" s="405"/>
      <c r="P623" s="405"/>
    </row>
    <row r="624" spans="1:20" ht="54.75" hidden="1" customHeight="1">
      <c r="A624" s="273" t="s">
        <v>792</v>
      </c>
      <c r="B624" s="481" t="s">
        <v>997</v>
      </c>
      <c r="C624" s="482" t="s">
        <v>538</v>
      </c>
      <c r="D624" s="483">
        <v>8100</v>
      </c>
      <c r="E624" s="484">
        <v>108288</v>
      </c>
      <c r="F624" s="524" t="s">
        <v>184</v>
      </c>
      <c r="G624" s="488" t="s">
        <v>542</v>
      </c>
      <c r="H624" s="489">
        <v>50</v>
      </c>
      <c r="I624" s="473">
        <f t="shared" si="136"/>
        <v>100000</v>
      </c>
      <c r="J624" s="473">
        <f t="shared" si="137"/>
        <v>0</v>
      </c>
      <c r="K624" s="473">
        <f t="shared" si="138"/>
        <v>100000</v>
      </c>
      <c r="L624" s="167">
        <v>100000</v>
      </c>
      <c r="M624" s="167"/>
      <c r="N624" s="167">
        <f t="shared" si="139"/>
        <v>100000</v>
      </c>
      <c r="O624" s="405"/>
      <c r="P624" s="405"/>
    </row>
    <row r="625" spans="1:20" ht="38.25" hidden="1" customHeight="1">
      <c r="A625" s="273" t="s">
        <v>793</v>
      </c>
      <c r="B625" s="481" t="s">
        <v>998</v>
      </c>
      <c r="C625" s="482" t="s">
        <v>539</v>
      </c>
      <c r="D625" s="483">
        <v>8100</v>
      </c>
      <c r="E625" s="484">
        <v>108288</v>
      </c>
      <c r="F625" s="524" t="s">
        <v>184</v>
      </c>
      <c r="G625" s="488" t="s">
        <v>543</v>
      </c>
      <c r="H625" s="489">
        <v>50</v>
      </c>
      <c r="I625" s="473">
        <f t="shared" si="136"/>
        <v>50000</v>
      </c>
      <c r="J625" s="473">
        <f t="shared" si="137"/>
        <v>0</v>
      </c>
      <c r="K625" s="473">
        <f t="shared" si="138"/>
        <v>50000</v>
      </c>
      <c r="L625" s="167">
        <v>50000</v>
      </c>
      <c r="M625" s="167"/>
      <c r="N625" s="167">
        <f t="shared" si="139"/>
        <v>50000</v>
      </c>
      <c r="O625" s="405"/>
      <c r="P625" s="405"/>
    </row>
    <row r="626" spans="1:20" ht="56.25" hidden="1" customHeight="1">
      <c r="A626" s="273" t="s">
        <v>794</v>
      </c>
      <c r="B626" s="481" t="s">
        <v>999</v>
      </c>
      <c r="C626" s="482" t="s">
        <v>540</v>
      </c>
      <c r="D626" s="483">
        <v>8100</v>
      </c>
      <c r="E626" s="484">
        <v>108288</v>
      </c>
      <c r="F626" s="524" t="s">
        <v>184</v>
      </c>
      <c r="G626" s="488" t="s">
        <v>544</v>
      </c>
      <c r="H626" s="489">
        <v>30</v>
      </c>
      <c r="I626" s="473">
        <f t="shared" si="136"/>
        <v>200000</v>
      </c>
      <c r="J626" s="473">
        <f t="shared" si="137"/>
        <v>0</v>
      </c>
      <c r="K626" s="473">
        <f t="shared" si="138"/>
        <v>200000</v>
      </c>
      <c r="L626" s="167">
        <f>100000+100000</f>
        <v>200000</v>
      </c>
      <c r="M626" s="167"/>
      <c r="N626" s="167">
        <f t="shared" si="139"/>
        <v>200000</v>
      </c>
      <c r="O626" s="405"/>
      <c r="P626" s="405"/>
    </row>
    <row r="627" spans="1:20" ht="64.5" hidden="1" customHeight="1">
      <c r="A627" s="273" t="s">
        <v>889</v>
      </c>
      <c r="B627" s="481" t="s">
        <v>1000</v>
      </c>
      <c r="C627" s="585" t="s">
        <v>885</v>
      </c>
      <c r="D627" s="483">
        <v>8100</v>
      </c>
      <c r="E627" s="484">
        <v>108288</v>
      </c>
      <c r="F627" s="524" t="s">
        <v>184</v>
      </c>
      <c r="G627" s="488" t="s">
        <v>887</v>
      </c>
      <c r="H627" s="489">
        <v>25</v>
      </c>
      <c r="I627" s="473">
        <f>INT(L627*$Q$139)</f>
        <v>500000</v>
      </c>
      <c r="J627" s="473">
        <f>INT(M627*$R$139)</f>
        <v>0</v>
      </c>
      <c r="K627" s="473">
        <f>SUM(I627:J627)</f>
        <v>500000</v>
      </c>
      <c r="L627" s="167">
        <f>350000+150000</f>
        <v>500000</v>
      </c>
      <c r="M627" s="167"/>
      <c r="N627" s="167">
        <f>SUM(L627,M627)</f>
        <v>500000</v>
      </c>
      <c r="O627" s="405"/>
      <c r="P627" s="405"/>
    </row>
    <row r="628" spans="1:20" ht="38.25" hidden="1" customHeight="1">
      <c r="A628" s="273" t="s">
        <v>890</v>
      </c>
      <c r="B628" s="481" t="s">
        <v>1001</v>
      </c>
      <c r="C628" s="482" t="s">
        <v>884</v>
      </c>
      <c r="D628" s="483">
        <v>8100</v>
      </c>
      <c r="E628" s="484">
        <v>108288</v>
      </c>
      <c r="F628" s="524" t="s">
        <v>184</v>
      </c>
      <c r="G628" s="488" t="s">
        <v>904</v>
      </c>
      <c r="H628" s="489">
        <v>1</v>
      </c>
      <c r="I628" s="473">
        <f>INT(L628*$Q$139)</f>
        <v>20000</v>
      </c>
      <c r="J628" s="473">
        <f>INT(M628*$R$139)</f>
        <v>0</v>
      </c>
      <c r="K628" s="473">
        <f>SUM(I628:J628)</f>
        <v>20000</v>
      </c>
      <c r="L628" s="167">
        <f>20000</f>
        <v>20000</v>
      </c>
      <c r="M628" s="167"/>
      <c r="N628" s="167">
        <f>SUM(L628,M628)</f>
        <v>20000</v>
      </c>
      <c r="O628" s="405"/>
      <c r="P628" s="405"/>
    </row>
    <row r="629" spans="1:20" ht="63.75" hidden="1" customHeight="1">
      <c r="A629" s="243" t="s">
        <v>891</v>
      </c>
      <c r="B629" s="453" t="s">
        <v>1002</v>
      </c>
      <c r="C629" s="448" t="s">
        <v>886</v>
      </c>
      <c r="D629" s="483">
        <v>100</v>
      </c>
      <c r="E629" s="449">
        <v>108288</v>
      </c>
      <c r="F629" s="450" t="s">
        <v>184</v>
      </c>
      <c r="G629" s="451" t="s">
        <v>888</v>
      </c>
      <c r="H629" s="439">
        <v>500</v>
      </c>
      <c r="I629" s="441">
        <f>INT(L629*$Q$139)</f>
        <v>0</v>
      </c>
      <c r="J629" s="441">
        <f>INT(M629*$R$139)</f>
        <v>0</v>
      </c>
      <c r="K629" s="441">
        <f>SUM(I629:J629)</f>
        <v>0</v>
      </c>
      <c r="L629" s="182">
        <v>0</v>
      </c>
      <c r="M629" s="171"/>
      <c r="N629" s="171">
        <f>SUM(L629,M629)</f>
        <v>0</v>
      </c>
      <c r="O629" s="40"/>
      <c r="P629" s="27"/>
      <c r="Q629" s="620"/>
      <c r="R629" s="27"/>
      <c r="S629" s="27"/>
      <c r="T629" s="27"/>
    </row>
    <row r="630" spans="1:20" ht="37.5" hidden="1" customHeight="1">
      <c r="A630" s="142"/>
      <c r="B630" s="137"/>
      <c r="C630" s="136" t="s">
        <v>274</v>
      </c>
      <c r="D630" s="483">
        <v>100</v>
      </c>
      <c r="E630" s="139"/>
      <c r="F630" s="138"/>
      <c r="G630" s="143"/>
      <c r="H630" s="137"/>
      <c r="I630" s="385">
        <f t="shared" ref="I630:N630" si="140">SUM(I631:I632)</f>
        <v>0</v>
      </c>
      <c r="J630" s="385">
        <f t="shared" si="140"/>
        <v>0</v>
      </c>
      <c r="K630" s="385">
        <f t="shared" si="140"/>
        <v>0</v>
      </c>
      <c r="L630" s="385">
        <f t="shared" si="140"/>
        <v>0</v>
      </c>
      <c r="M630" s="385">
        <f t="shared" si="140"/>
        <v>0</v>
      </c>
      <c r="N630" s="385">
        <f t="shared" si="140"/>
        <v>0</v>
      </c>
      <c r="P630" s="27"/>
      <c r="Q630" s="620"/>
      <c r="R630" s="27"/>
      <c r="S630" s="27"/>
      <c r="T630" s="27"/>
    </row>
    <row r="631" spans="1:20" ht="54.75" hidden="1" customHeight="1">
      <c r="A631" s="21" t="s">
        <v>437</v>
      </c>
      <c r="B631" s="252" t="s">
        <v>847</v>
      </c>
      <c r="C631" s="183" t="s">
        <v>299</v>
      </c>
      <c r="D631" s="483">
        <v>100</v>
      </c>
      <c r="E631" s="229" t="s">
        <v>795</v>
      </c>
      <c r="F631" s="230" t="s">
        <v>184</v>
      </c>
      <c r="G631" s="237" t="s">
        <v>142</v>
      </c>
      <c r="H631" s="170">
        <v>5</v>
      </c>
      <c r="I631" s="386">
        <f>INT(L631*$Q$139)</f>
        <v>0</v>
      </c>
      <c r="J631" s="386">
        <f>INT(M631*$R$139)</f>
        <v>0</v>
      </c>
      <c r="K631" s="386">
        <f>SUM(I631:J631)</f>
        <v>0</v>
      </c>
      <c r="L631" s="184"/>
      <c r="M631" s="172"/>
      <c r="N631" s="172">
        <f>SUM(L631,M631)</f>
        <v>0</v>
      </c>
      <c r="P631" s="27"/>
      <c r="Q631" s="620"/>
      <c r="R631" s="27"/>
      <c r="S631" s="27"/>
      <c r="T631" s="27"/>
    </row>
    <row r="632" spans="1:20" ht="53.25" hidden="1" customHeight="1">
      <c r="A632" s="125"/>
      <c r="B632" s="252" t="s">
        <v>855</v>
      </c>
      <c r="C632" s="183" t="s">
        <v>541</v>
      </c>
      <c r="D632" s="483">
        <v>100</v>
      </c>
      <c r="E632" s="229" t="s">
        <v>795</v>
      </c>
      <c r="F632" s="230" t="s">
        <v>184</v>
      </c>
      <c r="G632" s="237" t="s">
        <v>142</v>
      </c>
      <c r="H632" s="230">
        <v>30</v>
      </c>
      <c r="I632" s="386">
        <f>INT(L632*$Q$139)</f>
        <v>0</v>
      </c>
      <c r="J632" s="386">
        <f>INT(M632*$R$139)</f>
        <v>0</v>
      </c>
      <c r="K632" s="386">
        <f>SUM(I632:J632)</f>
        <v>0</v>
      </c>
      <c r="L632" s="171"/>
      <c r="M632" s="171"/>
      <c r="N632" s="171">
        <f>SUM(L632,M632)</f>
        <v>0</v>
      </c>
      <c r="O632" s="40"/>
      <c r="P632" s="27"/>
      <c r="Q632" s="620"/>
      <c r="R632" s="27"/>
      <c r="S632" s="27"/>
      <c r="T632" s="27"/>
    </row>
    <row r="633" spans="1:20" s="510" customFormat="1" ht="72" hidden="1" customHeight="1">
      <c r="A633" s="501"/>
      <c r="B633" s="502"/>
      <c r="C633" s="503" t="s">
        <v>447</v>
      </c>
      <c r="D633" s="504"/>
      <c r="E633" s="505"/>
      <c r="F633" s="504"/>
      <c r="G633" s="504"/>
      <c r="H633" s="504"/>
      <c r="I633" s="506">
        <f>SUM(I634:I642)</f>
        <v>2911801</v>
      </c>
      <c r="J633" s="506">
        <f>SUM(J634:J642)</f>
        <v>0</v>
      </c>
      <c r="K633" s="506">
        <f>J633+I633</f>
        <v>2911801</v>
      </c>
      <c r="L633" s="507">
        <f>SUM(L634:L642)</f>
        <v>2911801</v>
      </c>
      <c r="M633" s="507">
        <f>SUM(M634:M642)</f>
        <v>0</v>
      </c>
      <c r="N633" s="507">
        <f>SUM(N634:N642)</f>
        <v>2911801</v>
      </c>
      <c r="O633" s="508"/>
      <c r="P633" s="508"/>
      <c r="Q633" s="623"/>
      <c r="R633" s="508"/>
      <c r="S633" s="508"/>
      <c r="T633" s="509"/>
    </row>
    <row r="634" spans="1:20" ht="38.25" hidden="1" customHeight="1">
      <c r="A634" s="273" t="s">
        <v>655</v>
      </c>
      <c r="B634" s="481" t="s">
        <v>655</v>
      </c>
      <c r="C634" s="482" t="s">
        <v>392</v>
      </c>
      <c r="D634" s="484" t="s">
        <v>1321</v>
      </c>
      <c r="E634" s="484" t="s">
        <v>788</v>
      </c>
      <c r="F634" s="524" t="s">
        <v>184</v>
      </c>
      <c r="G634" s="488" t="s">
        <v>147</v>
      </c>
      <c r="H634" s="489">
        <v>10000</v>
      </c>
      <c r="I634" s="473">
        <f t="shared" ref="I634:I642" si="141">INT(L634*$Q$139)</f>
        <v>30000</v>
      </c>
      <c r="J634" s="473">
        <f t="shared" ref="J634:J642" si="142">INT(M634*$R$139)</f>
        <v>0</v>
      </c>
      <c r="K634" s="473">
        <f t="shared" ref="K634:K642" si="143">SUM(I634:J634)</f>
        <v>30000</v>
      </c>
      <c r="L634" s="167">
        <v>30000</v>
      </c>
      <c r="M634" s="167"/>
      <c r="N634" s="167">
        <f t="shared" ref="N634:N642" si="144">SUM(L634,M634)</f>
        <v>30000</v>
      </c>
      <c r="O634" s="405"/>
      <c r="P634" s="405"/>
    </row>
    <row r="635" spans="1:20" ht="65.25" hidden="1" customHeight="1">
      <c r="A635" s="273" t="s">
        <v>659</v>
      </c>
      <c r="B635" s="481" t="s">
        <v>1157</v>
      </c>
      <c r="C635" s="482" t="s">
        <v>460</v>
      </c>
      <c r="D635" s="484" t="s">
        <v>1321</v>
      </c>
      <c r="E635" s="484" t="s">
        <v>788</v>
      </c>
      <c r="F635" s="524" t="s">
        <v>184</v>
      </c>
      <c r="G635" s="488" t="s">
        <v>225</v>
      </c>
      <c r="H635" s="489">
        <v>3000</v>
      </c>
      <c r="I635" s="473">
        <f t="shared" si="141"/>
        <v>200000</v>
      </c>
      <c r="J635" s="473">
        <f t="shared" si="142"/>
        <v>0</v>
      </c>
      <c r="K635" s="473">
        <f t="shared" si="143"/>
        <v>200000</v>
      </c>
      <c r="L635" s="167">
        <v>200000</v>
      </c>
      <c r="M635" s="167"/>
      <c r="N635" s="167">
        <f t="shared" si="144"/>
        <v>200000</v>
      </c>
      <c r="O635" s="405"/>
      <c r="P635" s="405"/>
    </row>
    <row r="636" spans="1:20" ht="38.25" hidden="1" customHeight="1">
      <c r="A636" s="273" t="s">
        <v>660</v>
      </c>
      <c r="B636" s="481" t="s">
        <v>1004</v>
      </c>
      <c r="C636" s="482" t="s">
        <v>58</v>
      </c>
      <c r="D636" s="484" t="s">
        <v>1321</v>
      </c>
      <c r="E636" s="484" t="s">
        <v>788</v>
      </c>
      <c r="F636" s="524" t="s">
        <v>184</v>
      </c>
      <c r="G636" s="488" t="s">
        <v>147</v>
      </c>
      <c r="H636" s="489">
        <v>500</v>
      </c>
      <c r="I636" s="473">
        <f t="shared" si="141"/>
        <v>250000</v>
      </c>
      <c r="J636" s="473">
        <f t="shared" si="142"/>
        <v>0</v>
      </c>
      <c r="K636" s="473">
        <f t="shared" si="143"/>
        <v>250000</v>
      </c>
      <c r="L636" s="167">
        <v>250000</v>
      </c>
      <c r="M636" s="167"/>
      <c r="N636" s="167">
        <f t="shared" si="144"/>
        <v>250000</v>
      </c>
      <c r="O636" s="405"/>
      <c r="P636" s="405"/>
    </row>
    <row r="637" spans="1:20" ht="38.25" hidden="1" customHeight="1">
      <c r="A637" s="273"/>
      <c r="B637" s="481" t="s">
        <v>1155</v>
      </c>
      <c r="C637" s="482" t="s">
        <v>961</v>
      </c>
      <c r="D637" s="484" t="s">
        <v>1321</v>
      </c>
      <c r="E637" s="484" t="s">
        <v>788</v>
      </c>
      <c r="F637" s="524" t="s">
        <v>184</v>
      </c>
      <c r="G637" s="488" t="s">
        <v>1234</v>
      </c>
      <c r="H637" s="489">
        <v>408</v>
      </c>
      <c r="I637" s="473">
        <f>INT(L637*$Q$139)</f>
        <v>1958400</v>
      </c>
      <c r="J637" s="473">
        <f>INT(M637*$R$139)</f>
        <v>0</v>
      </c>
      <c r="K637" s="473">
        <f>SUM(I637:J637)</f>
        <v>1958400</v>
      </c>
      <c r="L637" s="167">
        <v>1958400</v>
      </c>
      <c r="M637" s="167"/>
      <c r="N637" s="167">
        <f>SUM(L637,M637)</f>
        <v>1958400</v>
      </c>
      <c r="O637" s="405"/>
      <c r="P637" s="405"/>
    </row>
    <row r="638" spans="1:20" ht="38.25" hidden="1" customHeight="1">
      <c r="A638" s="273"/>
      <c r="B638" s="481" t="s">
        <v>1156</v>
      </c>
      <c r="C638" s="482" t="s">
        <v>477</v>
      </c>
      <c r="D638" s="484" t="s">
        <v>1321</v>
      </c>
      <c r="E638" s="484" t="s">
        <v>788</v>
      </c>
      <c r="F638" s="524" t="s">
        <v>184</v>
      </c>
      <c r="G638" s="488" t="s">
        <v>255</v>
      </c>
      <c r="H638" s="489">
        <v>30</v>
      </c>
      <c r="I638" s="473">
        <f>INT(L638*$Q$139)</f>
        <v>144000</v>
      </c>
      <c r="J638" s="473">
        <f>INT(M638*$R$139)</f>
        <v>0</v>
      </c>
      <c r="K638" s="473">
        <f>SUM(I638:J638)</f>
        <v>144000</v>
      </c>
      <c r="L638" s="167">
        <v>144000</v>
      </c>
      <c r="M638" s="167"/>
      <c r="N638" s="167">
        <f>SUM(L638,M638)</f>
        <v>144000</v>
      </c>
      <c r="O638" s="405"/>
      <c r="P638" s="405"/>
    </row>
    <row r="639" spans="1:20" ht="38.25" hidden="1" customHeight="1">
      <c r="A639" s="273" t="s">
        <v>662</v>
      </c>
      <c r="B639" s="481" t="s">
        <v>1162</v>
      </c>
      <c r="C639" s="482" t="s">
        <v>959</v>
      </c>
      <c r="D639" s="484" t="s">
        <v>1321</v>
      </c>
      <c r="E639" s="484" t="s">
        <v>788</v>
      </c>
      <c r="F639" s="524" t="s">
        <v>184</v>
      </c>
      <c r="G639" s="488" t="s">
        <v>147</v>
      </c>
      <c r="H639" s="489">
        <v>2000</v>
      </c>
      <c r="I639" s="473">
        <f t="shared" si="141"/>
        <v>25000</v>
      </c>
      <c r="J639" s="473">
        <f t="shared" si="142"/>
        <v>0</v>
      </c>
      <c r="K639" s="473">
        <f t="shared" si="143"/>
        <v>25000</v>
      </c>
      <c r="L639" s="167">
        <v>25000</v>
      </c>
      <c r="M639" s="167"/>
      <c r="N639" s="167">
        <f t="shared" si="144"/>
        <v>25000</v>
      </c>
      <c r="O639" s="405"/>
      <c r="P639" s="405"/>
    </row>
    <row r="640" spans="1:20" ht="38.25" hidden="1" customHeight="1">
      <c r="A640" s="273" t="s">
        <v>663</v>
      </c>
      <c r="B640" s="481" t="s">
        <v>1005</v>
      </c>
      <c r="C640" s="482" t="s">
        <v>393</v>
      </c>
      <c r="D640" s="484" t="s">
        <v>1321</v>
      </c>
      <c r="E640" s="484" t="s">
        <v>788</v>
      </c>
      <c r="F640" s="524" t="s">
        <v>184</v>
      </c>
      <c r="G640" s="488" t="s">
        <v>147</v>
      </c>
      <c r="H640" s="489">
        <v>1000</v>
      </c>
      <c r="I640" s="473">
        <f t="shared" si="141"/>
        <v>30000</v>
      </c>
      <c r="J640" s="473">
        <f t="shared" si="142"/>
        <v>0</v>
      </c>
      <c r="K640" s="473">
        <f t="shared" si="143"/>
        <v>30000</v>
      </c>
      <c r="L640" s="167">
        <v>30000</v>
      </c>
      <c r="M640" s="167"/>
      <c r="N640" s="167">
        <f t="shared" si="144"/>
        <v>30000</v>
      </c>
      <c r="O640" s="405"/>
      <c r="P640" s="405"/>
    </row>
    <row r="641" spans="1:20" ht="38.25" hidden="1" customHeight="1">
      <c r="A641" s="273" t="s">
        <v>664</v>
      </c>
      <c r="B641" s="481" t="s">
        <v>1163</v>
      </c>
      <c r="C641" s="482" t="s">
        <v>960</v>
      </c>
      <c r="D641" s="484" t="s">
        <v>1321</v>
      </c>
      <c r="E641" s="484" t="s">
        <v>788</v>
      </c>
      <c r="F641" s="524" t="s">
        <v>184</v>
      </c>
      <c r="G641" s="488" t="s">
        <v>59</v>
      </c>
      <c r="H641" s="489">
        <v>1000</v>
      </c>
      <c r="I641" s="473">
        <f t="shared" si="141"/>
        <v>150000</v>
      </c>
      <c r="J641" s="473">
        <f t="shared" si="142"/>
        <v>0</v>
      </c>
      <c r="K641" s="473">
        <f t="shared" si="143"/>
        <v>150000</v>
      </c>
      <c r="L641" s="167">
        <v>150000</v>
      </c>
      <c r="M641" s="167"/>
      <c r="N641" s="167">
        <f t="shared" si="144"/>
        <v>150000</v>
      </c>
      <c r="O641" s="405"/>
      <c r="P641" s="405"/>
    </row>
    <row r="642" spans="1:20" ht="38.25" hidden="1" customHeight="1">
      <c r="A642" s="273"/>
      <c r="B642" s="481" t="s">
        <v>1048</v>
      </c>
      <c r="C642" s="482" t="s">
        <v>333</v>
      </c>
      <c r="D642" s="484" t="s">
        <v>1321</v>
      </c>
      <c r="E642" s="484" t="s">
        <v>788</v>
      </c>
      <c r="F642" s="524" t="s">
        <v>184</v>
      </c>
      <c r="G642" s="488" t="s">
        <v>147</v>
      </c>
      <c r="H642" s="487">
        <v>1</v>
      </c>
      <c r="I642" s="473">
        <f t="shared" si="141"/>
        <v>124401</v>
      </c>
      <c r="J642" s="473">
        <f t="shared" si="142"/>
        <v>0</v>
      </c>
      <c r="K642" s="473">
        <f t="shared" si="143"/>
        <v>124401</v>
      </c>
      <c r="L642" s="167">
        <v>124401</v>
      </c>
      <c r="M642" s="167"/>
      <c r="N642" s="167">
        <f t="shared" si="144"/>
        <v>124401</v>
      </c>
      <c r="O642" s="405"/>
      <c r="P642" s="405"/>
    </row>
    <row r="643" spans="1:20" s="510" customFormat="1" ht="72" hidden="1" customHeight="1">
      <c r="A643" s="501"/>
      <c r="B643" s="502"/>
      <c r="C643" s="503" t="s">
        <v>723</v>
      </c>
      <c r="D643" s="504"/>
      <c r="E643" s="505"/>
      <c r="F643" s="504"/>
      <c r="G643" s="504"/>
      <c r="H643" s="504"/>
      <c r="I643" s="506">
        <f>SUM(I644:I650)</f>
        <v>200000</v>
      </c>
      <c r="J643" s="506">
        <f>SUM(J644:J650)</f>
        <v>0</v>
      </c>
      <c r="K643" s="506">
        <f>J643+I643</f>
        <v>200000</v>
      </c>
      <c r="L643" s="507">
        <f>SUM(L644:L650)</f>
        <v>200000</v>
      </c>
      <c r="M643" s="507">
        <f>SUM(M650)</f>
        <v>0</v>
      </c>
      <c r="N643" s="507">
        <f>SUM(N644:N650)</f>
        <v>200000</v>
      </c>
      <c r="O643" s="508"/>
      <c r="P643" s="508"/>
      <c r="Q643" s="623"/>
      <c r="R643" s="508"/>
      <c r="S643" s="508"/>
      <c r="T643" s="509"/>
    </row>
    <row r="644" spans="1:20" ht="42" hidden="1" customHeight="1">
      <c r="A644" s="243" t="s">
        <v>756</v>
      </c>
      <c r="B644" s="243" t="s">
        <v>756</v>
      </c>
      <c r="C644" s="183" t="s">
        <v>303</v>
      </c>
      <c r="D644" s="228">
        <v>100</v>
      </c>
      <c r="E644" s="229" t="s">
        <v>791</v>
      </c>
      <c r="F644" s="230" t="s">
        <v>938</v>
      </c>
      <c r="G644" s="237" t="s">
        <v>147</v>
      </c>
      <c r="H644" s="170">
        <v>50</v>
      </c>
      <c r="I644" s="386">
        <f t="shared" ref="I644:I650" si="145">INT(L644*$Q$139)</f>
        <v>0</v>
      </c>
      <c r="J644" s="386">
        <f t="shared" ref="J644:J650" si="146">INT(M644*$R$139)</f>
        <v>0</v>
      </c>
      <c r="K644" s="386">
        <f t="shared" ref="K644:K650" si="147">SUM(I644:J644)</f>
        <v>0</v>
      </c>
      <c r="L644" s="172">
        <v>0</v>
      </c>
      <c r="M644" s="172"/>
      <c r="N644" s="172">
        <f t="shared" ref="N644:N650" si="148">SUM(L644,M644)</f>
        <v>0</v>
      </c>
    </row>
    <row r="645" spans="1:20" ht="42" hidden="1" customHeight="1">
      <c r="A645" s="243" t="s">
        <v>757</v>
      </c>
      <c r="B645" s="243" t="s">
        <v>757</v>
      </c>
      <c r="C645" s="183" t="s">
        <v>428</v>
      </c>
      <c r="D645" s="228">
        <v>100</v>
      </c>
      <c r="E645" s="229" t="s">
        <v>791</v>
      </c>
      <c r="F645" s="230" t="s">
        <v>938</v>
      </c>
      <c r="G645" s="237" t="s">
        <v>147</v>
      </c>
      <c r="H645" s="170">
        <v>50</v>
      </c>
      <c r="I645" s="386">
        <f t="shared" si="145"/>
        <v>0</v>
      </c>
      <c r="J645" s="386">
        <f t="shared" si="146"/>
        <v>0</v>
      </c>
      <c r="K645" s="386">
        <f t="shared" si="147"/>
        <v>0</v>
      </c>
      <c r="L645" s="168">
        <v>0</v>
      </c>
      <c r="M645" s="168"/>
      <c r="N645" s="172">
        <f t="shared" si="148"/>
        <v>0</v>
      </c>
      <c r="P645" s="27"/>
      <c r="Q645" s="620"/>
      <c r="R645" s="27"/>
      <c r="S645" s="27"/>
      <c r="T645" s="27"/>
    </row>
    <row r="646" spans="1:20" ht="42" hidden="1" customHeight="1">
      <c r="A646" s="243" t="s">
        <v>760</v>
      </c>
      <c r="B646" s="243" t="s">
        <v>760</v>
      </c>
      <c r="C646" s="183" t="s">
        <v>61</v>
      </c>
      <c r="D646" s="228">
        <v>100</v>
      </c>
      <c r="E646" s="229" t="s">
        <v>791</v>
      </c>
      <c r="F646" s="230" t="s">
        <v>938</v>
      </c>
      <c r="G646" s="237" t="s">
        <v>147</v>
      </c>
      <c r="H646" s="170">
        <v>500</v>
      </c>
      <c r="I646" s="386">
        <f t="shared" si="145"/>
        <v>0</v>
      </c>
      <c r="J646" s="386">
        <f t="shared" si="146"/>
        <v>0</v>
      </c>
      <c r="K646" s="386">
        <f t="shared" si="147"/>
        <v>0</v>
      </c>
      <c r="L646" s="168">
        <v>0</v>
      </c>
      <c r="M646" s="168"/>
      <c r="N646" s="172">
        <f t="shared" si="148"/>
        <v>0</v>
      </c>
      <c r="P646" s="27"/>
      <c r="Q646" s="620"/>
      <c r="R646" s="27"/>
      <c r="S646" s="27"/>
      <c r="T646" s="27"/>
    </row>
    <row r="647" spans="1:20" ht="42" hidden="1" customHeight="1">
      <c r="A647" s="243" t="s">
        <v>761</v>
      </c>
      <c r="B647" s="243" t="s">
        <v>761</v>
      </c>
      <c r="C647" s="183" t="s">
        <v>58</v>
      </c>
      <c r="D647" s="228">
        <v>100</v>
      </c>
      <c r="E647" s="229" t="s">
        <v>791</v>
      </c>
      <c r="F647" s="230" t="s">
        <v>938</v>
      </c>
      <c r="G647" s="237" t="s">
        <v>147</v>
      </c>
      <c r="H647" s="170">
        <v>500</v>
      </c>
      <c r="I647" s="386">
        <f t="shared" si="145"/>
        <v>0</v>
      </c>
      <c r="J647" s="386">
        <f t="shared" si="146"/>
        <v>0</v>
      </c>
      <c r="K647" s="386">
        <f t="shared" si="147"/>
        <v>0</v>
      </c>
      <c r="L647" s="168">
        <v>0</v>
      </c>
      <c r="M647" s="168"/>
      <c r="N647" s="172">
        <f t="shared" si="148"/>
        <v>0</v>
      </c>
      <c r="P647" s="27"/>
      <c r="Q647" s="620"/>
      <c r="R647" s="27"/>
      <c r="S647" s="27"/>
      <c r="T647" s="27"/>
    </row>
    <row r="648" spans="1:20" ht="42" hidden="1" customHeight="1">
      <c r="A648" s="243" t="s">
        <v>762</v>
      </c>
      <c r="B648" s="243" t="s">
        <v>762</v>
      </c>
      <c r="C648" s="183" t="s">
        <v>394</v>
      </c>
      <c r="D648" s="228">
        <v>100</v>
      </c>
      <c r="E648" s="229" t="s">
        <v>791</v>
      </c>
      <c r="F648" s="230" t="s">
        <v>938</v>
      </c>
      <c r="G648" s="237" t="s">
        <v>147</v>
      </c>
      <c r="H648" s="170">
        <v>134</v>
      </c>
      <c r="I648" s="386">
        <f t="shared" si="145"/>
        <v>0</v>
      </c>
      <c r="J648" s="386">
        <f t="shared" si="146"/>
        <v>0</v>
      </c>
      <c r="K648" s="386">
        <f t="shared" si="147"/>
        <v>0</v>
      </c>
      <c r="L648" s="168">
        <v>0</v>
      </c>
      <c r="M648" s="168"/>
      <c r="N648" s="172">
        <f t="shared" si="148"/>
        <v>0</v>
      </c>
      <c r="P648" s="27"/>
      <c r="Q648" s="620"/>
      <c r="R648" s="27"/>
      <c r="S648" s="27"/>
      <c r="T648" s="27"/>
    </row>
    <row r="649" spans="1:20" ht="42" hidden="1" customHeight="1">
      <c r="A649" s="243" t="s">
        <v>767</v>
      </c>
      <c r="B649" s="243" t="s">
        <v>767</v>
      </c>
      <c r="C649" s="183" t="s">
        <v>477</v>
      </c>
      <c r="D649" s="228">
        <v>100</v>
      </c>
      <c r="E649" s="229" t="s">
        <v>791</v>
      </c>
      <c r="F649" s="230" t="s">
        <v>938</v>
      </c>
      <c r="G649" s="237" t="s">
        <v>255</v>
      </c>
      <c r="H649" s="170">
        <v>30</v>
      </c>
      <c r="I649" s="386">
        <f t="shared" si="145"/>
        <v>0</v>
      </c>
      <c r="J649" s="441">
        <f t="shared" si="146"/>
        <v>0</v>
      </c>
      <c r="K649" s="441">
        <f t="shared" si="147"/>
        <v>0</v>
      </c>
      <c r="L649" s="168">
        <v>0</v>
      </c>
      <c r="M649" s="168"/>
      <c r="N649" s="172">
        <f t="shared" si="148"/>
        <v>0</v>
      </c>
      <c r="O649" s="150" t="s">
        <v>917</v>
      </c>
      <c r="P649" s="27"/>
      <c r="Q649" s="620"/>
      <c r="R649" s="27"/>
      <c r="S649" s="27"/>
      <c r="T649" s="27"/>
    </row>
    <row r="650" spans="1:20" ht="38.25" hidden="1" customHeight="1">
      <c r="A650" s="273"/>
      <c r="B650" s="481" t="s">
        <v>1216</v>
      </c>
      <c r="C650" s="482" t="s">
        <v>970</v>
      </c>
      <c r="D650" s="484" t="s">
        <v>1321</v>
      </c>
      <c r="E650" s="484" t="s">
        <v>791</v>
      </c>
      <c r="F650" s="524" t="s">
        <v>184</v>
      </c>
      <c r="G650" s="488" t="s">
        <v>147</v>
      </c>
      <c r="H650" s="489">
        <v>500</v>
      </c>
      <c r="I650" s="473">
        <f t="shared" si="145"/>
        <v>200000</v>
      </c>
      <c r="J650" s="473">
        <f t="shared" si="146"/>
        <v>0</v>
      </c>
      <c r="K650" s="473">
        <f t="shared" si="147"/>
        <v>200000</v>
      </c>
      <c r="L650" s="167">
        <v>200000</v>
      </c>
      <c r="M650" s="167"/>
      <c r="N650" s="167">
        <f t="shared" si="148"/>
        <v>200000</v>
      </c>
      <c r="O650" s="405"/>
      <c r="P650" s="405"/>
    </row>
    <row r="651" spans="1:20" s="472" customFormat="1" ht="45" hidden="1" customHeight="1">
      <c r="A651" s="478" t="s">
        <v>200</v>
      </c>
      <c r="B651" s="1263" t="s">
        <v>200</v>
      </c>
      <c r="C651" s="1264"/>
      <c r="D651" s="1264"/>
      <c r="E651" s="1264"/>
      <c r="F651" s="1264"/>
      <c r="G651" s="1264"/>
      <c r="H651" s="1265"/>
      <c r="I651" s="479">
        <f>SUM(I616,I618,I633,I643)</f>
        <v>5524598</v>
      </c>
      <c r="J651" s="479">
        <f>SUM(J616,J618,J633,J643)</f>
        <v>0</v>
      </c>
      <c r="K651" s="479">
        <f>I651+J651</f>
        <v>5524598</v>
      </c>
      <c r="L651" s="480">
        <f>J651+I651</f>
        <v>5524598</v>
      </c>
      <c r="M651" s="480">
        <f>SUM(M616,M618)</f>
        <v>0</v>
      </c>
      <c r="N651" s="480">
        <f>L651+M651</f>
        <v>5524598</v>
      </c>
      <c r="O651" s="470"/>
      <c r="P651" s="470"/>
      <c r="Q651" s="622"/>
      <c r="R651" s="470"/>
      <c r="S651" s="470"/>
      <c r="T651" s="471"/>
    </row>
    <row r="652" spans="1:20" ht="45" hidden="1" customHeight="1">
      <c r="A652" s="410"/>
      <c r="B652" s="1292" t="s">
        <v>1232</v>
      </c>
      <c r="C652" s="1292"/>
      <c r="D652" s="1292"/>
      <c r="E652" s="1292"/>
      <c r="F652" s="1292"/>
      <c r="G652" s="1292"/>
      <c r="H652" s="1292"/>
      <c r="I652" s="1292"/>
      <c r="J652" s="1292"/>
      <c r="K652" s="1292"/>
      <c r="L652" s="411"/>
      <c r="M652" s="411"/>
      <c r="N652" s="411"/>
    </row>
    <row r="653" spans="1:20" ht="21.95" hidden="1" customHeight="1">
      <c r="A653" s="613"/>
      <c r="B653" s="613"/>
      <c r="C653" s="613"/>
      <c r="D653" s="613"/>
      <c r="E653" s="613"/>
      <c r="F653" s="613"/>
      <c r="G653" s="66"/>
      <c r="H653" s="66"/>
      <c r="I653" s="66"/>
      <c r="J653" s="66"/>
      <c r="K653" s="66"/>
      <c r="L653" s="613"/>
      <c r="M653" s="613"/>
      <c r="N653" s="613"/>
    </row>
    <row r="654" spans="1:20" ht="21.95" hidden="1" customHeight="1">
      <c r="A654" s="65"/>
      <c r="B654" s="65"/>
      <c r="C654" s="65"/>
      <c r="D654" s="65"/>
      <c r="E654" s="65"/>
      <c r="F654" s="65"/>
      <c r="G654" s="68"/>
      <c r="H654" s="68"/>
      <c r="I654" s="68"/>
      <c r="J654" s="68"/>
      <c r="K654" s="68"/>
      <c r="L654" s="65"/>
      <c r="M654" s="65"/>
      <c r="N654" s="65"/>
    </row>
    <row r="655" spans="1:20" ht="21.95" hidden="1" customHeight="1" thickBot="1">
      <c r="A655" s="59"/>
      <c r="B655" s="59"/>
      <c r="C655" s="256"/>
      <c r="D655" s="256"/>
      <c r="E655" s="256"/>
      <c r="F655" s="257"/>
      <c r="G655" s="70"/>
      <c r="H655" s="71"/>
      <c r="I655" s="71"/>
      <c r="J655" s="71"/>
      <c r="K655" s="71"/>
      <c r="L655" s="72"/>
      <c r="M655" s="73"/>
      <c r="N655" s="74"/>
    </row>
    <row r="656" spans="1:20" ht="29.25" hidden="1" customHeight="1">
      <c r="A656" s="59"/>
      <c r="B656" s="59"/>
      <c r="C656" s="1204" t="s">
        <v>51</v>
      </c>
      <c r="D656" s="1204"/>
      <c r="E656" s="1204"/>
      <c r="F656" s="1204"/>
      <c r="G656" s="68"/>
      <c r="H656" s="1243" t="s">
        <v>11</v>
      </c>
      <c r="I656" s="1244"/>
      <c r="J656" s="1244"/>
      <c r="K656" s="1245"/>
      <c r="L656" s="337"/>
      <c r="M656" s="337"/>
      <c r="N656" s="337"/>
    </row>
    <row r="657" spans="1:20" ht="30.75" hidden="1" customHeight="1">
      <c r="A657" s="59"/>
      <c r="B657" s="59"/>
      <c r="C657" s="1204" t="s">
        <v>52</v>
      </c>
      <c r="D657" s="1204"/>
      <c r="E657" s="1204"/>
      <c r="F657" s="1204"/>
      <c r="G657" s="68"/>
      <c r="H657" s="1208" t="s">
        <v>718</v>
      </c>
      <c r="I657" s="1209"/>
      <c r="J657" s="1209"/>
      <c r="K657" s="1210"/>
      <c r="L657" s="336"/>
      <c r="M657" s="336"/>
      <c r="N657" s="336"/>
    </row>
    <row r="658" spans="1:20" ht="33" hidden="1" customHeight="1">
      <c r="A658" s="59"/>
      <c r="B658" s="59"/>
      <c r="C658" s="1204" t="s">
        <v>50</v>
      </c>
      <c r="D658" s="1204"/>
      <c r="E658" s="1204"/>
      <c r="F658" s="1204"/>
      <c r="G658" s="68"/>
      <c r="H658" s="1211"/>
      <c r="I658" s="1212"/>
      <c r="J658" s="1212"/>
      <c r="K658" s="1213"/>
      <c r="L658" s="336"/>
      <c r="M658" s="336"/>
      <c r="N658" s="336"/>
    </row>
    <row r="659" spans="1:20" ht="41.25" hidden="1" customHeight="1">
      <c r="A659" s="65"/>
      <c r="B659" s="65"/>
      <c r="C659" s="65"/>
      <c r="D659" s="65"/>
      <c r="E659" s="65"/>
      <c r="F659" s="65"/>
      <c r="G659" s="68"/>
      <c r="H659" s="1211" t="s">
        <v>22</v>
      </c>
      <c r="I659" s="1212"/>
      <c r="J659" s="1212"/>
      <c r="K659" s="477">
        <f>SUM(K680)</f>
        <v>510386</v>
      </c>
      <c r="L659" s="336"/>
      <c r="M659" s="336"/>
      <c r="N659" s="86"/>
    </row>
    <row r="660" spans="1:20" ht="45" hidden="1" customHeight="1" thickBot="1">
      <c r="A660" s="65"/>
      <c r="B660" s="65"/>
      <c r="C660" s="65"/>
      <c r="D660" s="65"/>
      <c r="E660" s="65"/>
      <c r="F660" s="65"/>
      <c r="G660" s="68"/>
      <c r="H660" s="1283" t="s">
        <v>13</v>
      </c>
      <c r="I660" s="1284"/>
      <c r="J660" s="1284"/>
      <c r="K660" s="1285"/>
      <c r="L660" s="336"/>
      <c r="M660" s="336"/>
      <c r="N660" s="336"/>
    </row>
    <row r="661" spans="1:20" ht="30" hidden="1" customHeight="1">
      <c r="A661" s="65"/>
      <c r="B661" s="65"/>
      <c r="C661" s="65"/>
      <c r="D661" s="65"/>
      <c r="E661" s="65"/>
      <c r="F661" s="65"/>
      <c r="G661" s="68"/>
      <c r="H661" s="68"/>
      <c r="I661" s="68"/>
      <c r="J661" s="68"/>
      <c r="K661" s="68"/>
      <c r="L661" s="65"/>
      <c r="M661" s="65"/>
      <c r="N661" s="65"/>
    </row>
    <row r="662" spans="1:20" ht="24.95" hidden="1" customHeight="1">
      <c r="A662" s="65"/>
      <c r="B662" s="65"/>
      <c r="C662" s="65"/>
      <c r="D662" s="65"/>
      <c r="E662" s="65"/>
      <c r="F662" s="65"/>
      <c r="G662" s="68"/>
      <c r="H662" s="68"/>
      <c r="I662" s="68"/>
      <c r="J662" s="68"/>
      <c r="K662" s="68"/>
      <c r="L662" s="65"/>
      <c r="M662" s="65"/>
      <c r="N662" s="65"/>
    </row>
    <row r="663" spans="1:20" ht="24.95" hidden="1" customHeight="1">
      <c r="A663" s="65"/>
      <c r="B663" s="65"/>
      <c r="C663" s="65"/>
      <c r="D663" s="65"/>
      <c r="E663" s="65"/>
      <c r="F663" s="65"/>
      <c r="G663" s="68"/>
      <c r="H663" s="68"/>
      <c r="I663" s="68"/>
      <c r="J663" s="68"/>
      <c r="K663" s="68"/>
      <c r="L663" s="65"/>
      <c r="M663" s="65"/>
      <c r="N663" s="65"/>
    </row>
    <row r="664" spans="1:20" ht="44.25" hidden="1" customHeight="1">
      <c r="A664" s="346" t="s">
        <v>1059</v>
      </c>
      <c r="B664" s="1226" t="s">
        <v>1037</v>
      </c>
      <c r="C664" s="1226"/>
      <c r="D664" s="1226"/>
      <c r="E664" s="1226"/>
      <c r="F664" s="1226"/>
      <c r="G664" s="1226"/>
      <c r="H664" s="1226"/>
      <c r="I664" s="1226"/>
      <c r="J664" s="1226"/>
      <c r="K664" s="1226"/>
      <c r="L664" s="346"/>
      <c r="M664" s="346"/>
      <c r="N664" s="346"/>
      <c r="O664" s="27"/>
      <c r="P664" s="27"/>
      <c r="Q664" s="620"/>
      <c r="R664" s="27"/>
      <c r="S664" s="27"/>
      <c r="T664" s="27"/>
    </row>
    <row r="665" spans="1:20" ht="54.95" hidden="1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</row>
    <row r="666" spans="1:20" s="500" customFormat="1" ht="90" hidden="1">
      <c r="A666" s="496" t="s">
        <v>14</v>
      </c>
      <c r="B666" s="497" t="s">
        <v>14</v>
      </c>
      <c r="C666" s="497" t="s">
        <v>37</v>
      </c>
      <c r="D666" s="497" t="s">
        <v>440</v>
      </c>
      <c r="E666" s="497" t="s">
        <v>16</v>
      </c>
      <c r="F666" s="497" t="s">
        <v>185</v>
      </c>
      <c r="G666" s="497" t="s">
        <v>178</v>
      </c>
      <c r="H666" s="497" t="s">
        <v>179</v>
      </c>
      <c r="I666" s="497" t="s">
        <v>180</v>
      </c>
      <c r="J666" s="497" t="s">
        <v>181</v>
      </c>
      <c r="K666" s="497" t="s">
        <v>200</v>
      </c>
      <c r="L666" s="496" t="s">
        <v>180</v>
      </c>
      <c r="M666" s="496" t="s">
        <v>181</v>
      </c>
      <c r="N666" s="496" t="s">
        <v>200</v>
      </c>
      <c r="O666" s="498"/>
      <c r="P666" s="498"/>
      <c r="Q666" s="622"/>
      <c r="R666" s="498"/>
      <c r="S666" s="498"/>
      <c r="T666" s="499"/>
    </row>
    <row r="667" spans="1:20" s="510" customFormat="1" ht="72" hidden="1" customHeight="1">
      <c r="A667" s="501"/>
      <c r="B667" s="502"/>
      <c r="C667" s="503" t="s">
        <v>273</v>
      </c>
      <c r="D667" s="504"/>
      <c r="E667" s="505"/>
      <c r="F667" s="504"/>
      <c r="G667" s="504"/>
      <c r="H667" s="504"/>
      <c r="I667" s="506">
        <f>SUM(I668:I669)</f>
        <v>385381</v>
      </c>
      <c r="J667" s="506">
        <f>SUM(J668:J669)</f>
        <v>0</v>
      </c>
      <c r="K667" s="506">
        <f>SUM(K668:K668)</f>
        <v>179017</v>
      </c>
      <c r="L667" s="507">
        <f>SUM(L668:L669)</f>
        <v>385381</v>
      </c>
      <c r="M667" s="507">
        <f>SUM(M668:M669)</f>
        <v>0</v>
      </c>
      <c r="N667" s="507">
        <f>SUM(N668:N668)</f>
        <v>179017</v>
      </c>
      <c r="O667" s="508"/>
      <c r="P667" s="508"/>
      <c r="Q667" s="623"/>
      <c r="R667" s="508"/>
      <c r="S667" s="508"/>
      <c r="T667" s="509"/>
    </row>
    <row r="668" spans="1:20" ht="38.25" hidden="1" customHeight="1">
      <c r="A668" s="273" t="s">
        <v>585</v>
      </c>
      <c r="B668" s="481" t="s">
        <v>1003</v>
      </c>
      <c r="C668" s="482" t="s">
        <v>233</v>
      </c>
      <c r="D668" s="483">
        <v>8100</v>
      </c>
      <c r="E668" s="484">
        <v>108288</v>
      </c>
      <c r="F668" s="524" t="s">
        <v>211</v>
      </c>
      <c r="G668" s="488" t="s">
        <v>147</v>
      </c>
      <c r="H668" s="489">
        <v>50</v>
      </c>
      <c r="I668" s="473">
        <f>INT(L668*$Q$139)</f>
        <v>179017</v>
      </c>
      <c r="J668" s="473">
        <f>INT(M668*$R$139)</f>
        <v>0</v>
      </c>
      <c r="K668" s="473">
        <f>SUM(I668:J668)</f>
        <v>179017</v>
      </c>
      <c r="L668" s="167">
        <v>179017</v>
      </c>
      <c r="M668" s="167"/>
      <c r="N668" s="167">
        <f>SUM(L668,M668)</f>
        <v>179017</v>
      </c>
      <c r="O668" s="405"/>
      <c r="P668" s="405"/>
    </row>
    <row r="669" spans="1:20" ht="38.25" hidden="1" customHeight="1">
      <c r="A669" s="273"/>
      <c r="B669" s="481" t="s">
        <v>1277</v>
      </c>
      <c r="C669" s="482" t="s">
        <v>536</v>
      </c>
      <c r="D669" s="483">
        <v>8100</v>
      </c>
      <c r="E669" s="484">
        <v>108288</v>
      </c>
      <c r="F669" s="524" t="s">
        <v>211</v>
      </c>
      <c r="G669" s="488" t="s">
        <v>148</v>
      </c>
      <c r="H669" s="491">
        <v>1</v>
      </c>
      <c r="I669" s="473">
        <f>INT(L669*$Q$139)</f>
        <v>206364</v>
      </c>
      <c r="J669" s="473">
        <f>INT(M669*$R$139)</f>
        <v>0</v>
      </c>
      <c r="K669" s="473">
        <f>SUM(I669:J669)</f>
        <v>206364</v>
      </c>
      <c r="L669" s="167">
        <v>206364</v>
      </c>
      <c r="M669" s="167"/>
      <c r="N669" s="167"/>
      <c r="O669" s="405"/>
      <c r="P669" s="405"/>
    </row>
    <row r="670" spans="1:20" s="510" customFormat="1" ht="72" hidden="1" customHeight="1">
      <c r="A670" s="501"/>
      <c r="B670" s="502"/>
      <c r="C670" s="503" t="s">
        <v>297</v>
      </c>
      <c r="D670" s="504"/>
      <c r="E670" s="505"/>
      <c r="F670" s="504"/>
      <c r="G670" s="504"/>
      <c r="H670" s="504"/>
      <c r="I670" s="506">
        <f>SUM(I671)</f>
        <v>61005</v>
      </c>
      <c r="J670" s="506"/>
      <c r="K670" s="506">
        <f>SUM(K671)</f>
        <v>61005</v>
      </c>
      <c r="L670" s="507">
        <f>SUM(L671)</f>
        <v>61005</v>
      </c>
      <c r="M670" s="507"/>
      <c r="N670" s="507">
        <f>SUM(N671)</f>
        <v>61005</v>
      </c>
      <c r="O670" s="508"/>
      <c r="P670" s="508"/>
      <c r="Q670" s="623"/>
      <c r="R670" s="508"/>
      <c r="S670" s="508"/>
      <c r="T670" s="509"/>
    </row>
    <row r="671" spans="1:20" ht="59.25" hidden="1" customHeight="1">
      <c r="A671" s="273" t="s">
        <v>625</v>
      </c>
      <c r="B671" s="481" t="s">
        <v>1124</v>
      </c>
      <c r="C671" s="482" t="s">
        <v>305</v>
      </c>
      <c r="D671" s="483">
        <v>8100</v>
      </c>
      <c r="E671" s="484">
        <v>108288</v>
      </c>
      <c r="F671" s="524" t="s">
        <v>211</v>
      </c>
      <c r="G671" s="488" t="s">
        <v>234</v>
      </c>
      <c r="H671" s="489">
        <v>1</v>
      </c>
      <c r="I671" s="473">
        <f>INT(L671*$Q$139)</f>
        <v>61005</v>
      </c>
      <c r="J671" s="473">
        <f>INT(M671*$R$139)</f>
        <v>0</v>
      </c>
      <c r="K671" s="473">
        <f>SUM(I671:J671)</f>
        <v>61005</v>
      </c>
      <c r="L671" s="167">
        <v>61005</v>
      </c>
      <c r="M671" s="167"/>
      <c r="N671" s="167">
        <f>SUM(L671,M671)</f>
        <v>61005</v>
      </c>
      <c r="O671" s="405"/>
      <c r="P671" s="405"/>
    </row>
    <row r="672" spans="1:20" ht="40.5" hidden="1" customHeight="1">
      <c r="A672" s="142"/>
      <c r="B672" s="137"/>
      <c r="C672" s="136" t="s">
        <v>274</v>
      </c>
      <c r="D672" s="136"/>
      <c r="E672" s="136"/>
      <c r="F672" s="138"/>
      <c r="G672" s="143"/>
      <c r="H672" s="137"/>
      <c r="I672" s="393">
        <f t="shared" ref="I672:N672" si="149">SUM(I673:I674)</f>
        <v>0</v>
      </c>
      <c r="J672" s="393">
        <f t="shared" si="149"/>
        <v>0</v>
      </c>
      <c r="K672" s="393">
        <f t="shared" si="149"/>
        <v>0</v>
      </c>
      <c r="L672" s="393">
        <f t="shared" si="149"/>
        <v>0</v>
      </c>
      <c r="M672" s="393">
        <f t="shared" si="149"/>
        <v>0</v>
      </c>
      <c r="N672" s="393">
        <f t="shared" si="149"/>
        <v>0</v>
      </c>
      <c r="O672" s="194"/>
      <c r="P672" s="27"/>
      <c r="Q672" s="620"/>
      <c r="R672" s="27"/>
      <c r="S672" s="27"/>
      <c r="T672" s="27"/>
    </row>
    <row r="673" spans="1:20" ht="50.1" hidden="1" customHeight="1">
      <c r="A673" s="243" t="s">
        <v>747</v>
      </c>
      <c r="B673" s="243" t="s">
        <v>747</v>
      </c>
      <c r="C673" s="183" t="s">
        <v>536</v>
      </c>
      <c r="D673" s="228">
        <v>112</v>
      </c>
      <c r="E673" s="229" t="s">
        <v>795</v>
      </c>
      <c r="F673" s="258" t="s">
        <v>211</v>
      </c>
      <c r="G673" s="237" t="s">
        <v>147</v>
      </c>
      <c r="H673" s="238"/>
      <c r="I673" s="386">
        <f>INT(L673*$Q$139)</f>
        <v>0</v>
      </c>
      <c r="J673" s="386">
        <f>INT(M673*$R$139)</f>
        <v>0</v>
      </c>
      <c r="K673" s="386">
        <f>SUM(I673:J673)</f>
        <v>0</v>
      </c>
      <c r="L673" s="166"/>
      <c r="M673" s="386"/>
      <c r="N673" s="166">
        <f>SUM(L673,M673)</f>
        <v>0</v>
      </c>
      <c r="P673" s="27"/>
      <c r="Q673" s="620"/>
      <c r="R673" s="27"/>
      <c r="S673" s="27"/>
      <c r="T673" s="27"/>
    </row>
    <row r="674" spans="1:20" ht="39.950000000000003" hidden="1" customHeight="1">
      <c r="A674" s="252" t="s">
        <v>847</v>
      </c>
      <c r="B674" s="252" t="s">
        <v>847</v>
      </c>
      <c r="C674" s="259" t="s">
        <v>679</v>
      </c>
      <c r="D674" s="228">
        <v>112</v>
      </c>
      <c r="E674" s="229" t="s">
        <v>795</v>
      </c>
      <c r="F674" s="258" t="s">
        <v>211</v>
      </c>
      <c r="G674" s="242" t="s">
        <v>304</v>
      </c>
      <c r="H674" s="238">
        <v>1</v>
      </c>
      <c r="I674" s="386">
        <f>INT(L674*$Q$139)</f>
        <v>0</v>
      </c>
      <c r="J674" s="386">
        <f>INT(M674*$R$139)</f>
        <v>0</v>
      </c>
      <c r="K674" s="386">
        <f>SUM(I674:J674)</f>
        <v>0</v>
      </c>
      <c r="L674" s="186"/>
      <c r="M674" s="166"/>
      <c r="N674" s="166">
        <f>SUM(L674,M674)</f>
        <v>0</v>
      </c>
      <c r="P674" s="27"/>
      <c r="Q674" s="620"/>
      <c r="R674" s="27"/>
      <c r="S674" s="27"/>
      <c r="T674" s="27"/>
    </row>
    <row r="675" spans="1:20" s="510" customFormat="1" ht="72" hidden="1" customHeight="1">
      <c r="A675" s="501"/>
      <c r="B675" s="502"/>
      <c r="C675" s="503" t="s">
        <v>880</v>
      </c>
      <c r="D675" s="504"/>
      <c r="E675" s="505"/>
      <c r="F675" s="504"/>
      <c r="G675" s="504"/>
      <c r="H675" s="504"/>
      <c r="I675" s="506">
        <f t="shared" ref="I675:N675" si="150">SUM(I676)</f>
        <v>60000</v>
      </c>
      <c r="J675" s="506">
        <f t="shared" si="150"/>
        <v>0</v>
      </c>
      <c r="K675" s="506">
        <f t="shared" si="150"/>
        <v>60000</v>
      </c>
      <c r="L675" s="507">
        <f t="shared" si="150"/>
        <v>60000</v>
      </c>
      <c r="M675" s="507">
        <f t="shared" si="150"/>
        <v>0</v>
      </c>
      <c r="N675" s="507">
        <f t="shared" si="150"/>
        <v>60000</v>
      </c>
      <c r="O675" s="508"/>
      <c r="P675" s="508"/>
      <c r="Q675" s="623"/>
      <c r="R675" s="508"/>
      <c r="S675" s="508"/>
      <c r="T675" s="509"/>
    </row>
    <row r="676" spans="1:20" ht="38.25" hidden="1" customHeight="1">
      <c r="A676" s="273" t="s">
        <v>645</v>
      </c>
      <c r="B676" s="481" t="s">
        <v>1125</v>
      </c>
      <c r="C676" s="482" t="s">
        <v>817</v>
      </c>
      <c r="D676" s="483">
        <v>8100</v>
      </c>
      <c r="E676" s="484" t="s">
        <v>782</v>
      </c>
      <c r="F676" s="524" t="s">
        <v>211</v>
      </c>
      <c r="G676" s="488" t="s">
        <v>526</v>
      </c>
      <c r="H676" s="489"/>
      <c r="I676" s="473">
        <f>INT(L676*$Q$139)</f>
        <v>60000</v>
      </c>
      <c r="J676" s="473">
        <f>INT(M676*$R$139)</f>
        <v>0</v>
      </c>
      <c r="K676" s="473">
        <f>SUM(I676:J676)</f>
        <v>60000</v>
      </c>
      <c r="L676" s="167">
        <v>60000</v>
      </c>
      <c r="M676" s="167"/>
      <c r="N676" s="167">
        <f>SUM(L676,M676)</f>
        <v>60000</v>
      </c>
      <c r="O676" s="405"/>
      <c r="P676" s="405"/>
    </row>
    <row r="677" spans="1:20" s="510" customFormat="1" ht="72" hidden="1" customHeight="1">
      <c r="A677" s="501"/>
      <c r="B677" s="502"/>
      <c r="C677" s="503" t="s">
        <v>954</v>
      </c>
      <c r="D677" s="504"/>
      <c r="E677" s="505"/>
      <c r="F677" s="504"/>
      <c r="G677" s="504"/>
      <c r="H677" s="504"/>
      <c r="I677" s="506">
        <f t="shared" ref="I677:N677" si="151">SUM(I678:I679)</f>
        <v>4000</v>
      </c>
      <c r="J677" s="506">
        <f t="shared" si="151"/>
        <v>0</v>
      </c>
      <c r="K677" s="506">
        <f t="shared" si="151"/>
        <v>4000</v>
      </c>
      <c r="L677" s="507">
        <f t="shared" si="151"/>
        <v>4000</v>
      </c>
      <c r="M677" s="507">
        <f t="shared" si="151"/>
        <v>0</v>
      </c>
      <c r="N677" s="507">
        <f t="shared" si="151"/>
        <v>4000</v>
      </c>
      <c r="O677" s="508"/>
      <c r="P677" s="508"/>
      <c r="Q677" s="623"/>
      <c r="R677" s="508"/>
      <c r="S677" s="508"/>
      <c r="T677" s="509"/>
    </row>
    <row r="678" spans="1:20" ht="59.25" hidden="1" customHeight="1">
      <c r="A678" s="273" t="s">
        <v>355</v>
      </c>
      <c r="B678" s="481" t="s">
        <v>1185</v>
      </c>
      <c r="C678" s="490" t="s">
        <v>952</v>
      </c>
      <c r="D678" s="483">
        <v>8100</v>
      </c>
      <c r="E678" s="484" t="s">
        <v>1260</v>
      </c>
      <c r="F678" s="524" t="s">
        <v>211</v>
      </c>
      <c r="G678" s="488" t="s">
        <v>147</v>
      </c>
      <c r="H678" s="489"/>
      <c r="I678" s="473">
        <f>INT(L678*$Q$139)</f>
        <v>4000</v>
      </c>
      <c r="J678" s="473">
        <f>INT(M678*$R$139)</f>
        <v>0</v>
      </c>
      <c r="K678" s="473">
        <f>SUM(I678:J678)</f>
        <v>4000</v>
      </c>
      <c r="L678" s="167">
        <v>4000</v>
      </c>
      <c r="M678" s="167"/>
      <c r="N678" s="167">
        <f>SUM(L678,M678)</f>
        <v>4000</v>
      </c>
      <c r="O678" s="405"/>
      <c r="P678" s="405"/>
    </row>
    <row r="679" spans="1:20" ht="50.1" hidden="1" customHeight="1">
      <c r="A679" s="13"/>
      <c r="B679" s="204"/>
      <c r="C679" s="204"/>
      <c r="D679" s="204"/>
      <c r="E679" s="204"/>
      <c r="F679" s="204"/>
      <c r="G679" s="204"/>
      <c r="H679" s="204"/>
      <c r="I679" s="389"/>
      <c r="J679" s="389"/>
      <c r="K679" s="389"/>
      <c r="L679" s="187"/>
      <c r="M679" s="187"/>
      <c r="N679" s="187"/>
      <c r="P679" s="27"/>
      <c r="Q679" s="620"/>
      <c r="R679" s="27"/>
      <c r="S679" s="27"/>
      <c r="T679" s="27"/>
    </row>
    <row r="680" spans="1:20" s="472" customFormat="1" ht="45" hidden="1" customHeight="1">
      <c r="A680" s="478" t="s">
        <v>200</v>
      </c>
      <c r="B680" s="1263" t="s">
        <v>200</v>
      </c>
      <c r="C680" s="1264"/>
      <c r="D680" s="1264"/>
      <c r="E680" s="1264"/>
      <c r="F680" s="1264"/>
      <c r="G680" s="1264"/>
      <c r="H680" s="1265"/>
      <c r="I680" s="479">
        <f>SUM(I667,I670,I672,I675,I677)</f>
        <v>510386</v>
      </c>
      <c r="J680" s="479">
        <f>SUM(J667,J670,J672,J675)</f>
        <v>0</v>
      </c>
      <c r="K680" s="479">
        <f>I680+J680</f>
        <v>510386</v>
      </c>
      <c r="L680" s="480">
        <f>SUM(L667,L670,L672,L675,L677)</f>
        <v>510386</v>
      </c>
      <c r="M680" s="480">
        <f>SUM(M667,M670,M672,M675)</f>
        <v>0</v>
      </c>
      <c r="N680" s="480">
        <f>L680+M680</f>
        <v>510386</v>
      </c>
      <c r="O680" s="470"/>
      <c r="P680" s="470"/>
      <c r="Q680" s="622"/>
      <c r="R680" s="470"/>
      <c r="S680" s="470"/>
      <c r="T680" s="471"/>
    </row>
    <row r="681" spans="1:20" ht="50.1" hidden="1" customHeight="1">
      <c r="A681" s="23"/>
      <c r="B681" s="1294" t="s">
        <v>1286</v>
      </c>
      <c r="C681" s="1294"/>
      <c r="D681" s="1294"/>
      <c r="E681" s="1294"/>
      <c r="F681" s="1294"/>
      <c r="G681" s="1294"/>
      <c r="H681" s="1294"/>
      <c r="I681" s="1294"/>
      <c r="J681" s="1294"/>
      <c r="K681" s="1294"/>
      <c r="L681" s="102"/>
      <c r="M681" s="84"/>
      <c r="N681" s="103"/>
      <c r="P681" s="27"/>
      <c r="Q681" s="620"/>
      <c r="R681" s="27"/>
      <c r="S681" s="27"/>
      <c r="T681" s="27"/>
    </row>
    <row r="682" spans="1:20" ht="61.5" hidden="1" customHeight="1">
      <c r="A682" s="23"/>
      <c r="B682" s="1293" t="s">
        <v>1284</v>
      </c>
      <c r="C682" s="1293"/>
      <c r="D682" s="1293"/>
      <c r="E682" s="1293"/>
      <c r="F682" s="1293"/>
      <c r="G682" s="1293"/>
      <c r="H682" s="1293"/>
      <c r="I682" s="1293"/>
      <c r="J682" s="1293"/>
      <c r="K682" s="1293"/>
      <c r="L682" s="102"/>
      <c r="M682" s="84"/>
      <c r="N682" s="103"/>
      <c r="P682" s="27"/>
      <c r="Q682" s="620"/>
      <c r="R682" s="27"/>
      <c r="S682" s="27"/>
      <c r="T682" s="27"/>
    </row>
    <row r="683" spans="1:20" ht="20.100000000000001" hidden="1" customHeight="1" thickBot="1">
      <c r="A683" s="23"/>
      <c r="B683" s="23"/>
      <c r="C683" s="101"/>
      <c r="D683" s="101"/>
      <c r="E683" s="101"/>
      <c r="F683" s="23"/>
      <c r="G683" s="88"/>
      <c r="H683" s="100"/>
      <c r="I683" s="100"/>
      <c r="J683" s="100"/>
      <c r="K683" s="100"/>
      <c r="L683" s="102"/>
      <c r="M683" s="84"/>
      <c r="N683" s="103"/>
      <c r="P683" s="27"/>
      <c r="Q683" s="620"/>
      <c r="R683" s="27"/>
      <c r="S683" s="27"/>
      <c r="T683" s="27"/>
    </row>
    <row r="684" spans="1:20" ht="29.25" hidden="1" customHeight="1">
      <c r="A684" s="59"/>
      <c r="B684" s="59"/>
      <c r="C684" s="1204" t="s">
        <v>51</v>
      </c>
      <c r="D684" s="1204"/>
      <c r="E684" s="1204"/>
      <c r="F684" s="1204"/>
      <c r="H684" s="1243" t="s">
        <v>11</v>
      </c>
      <c r="I684" s="1244"/>
      <c r="J684" s="1244"/>
      <c r="K684" s="1245"/>
      <c r="L684" s="337"/>
      <c r="M684" s="337"/>
      <c r="N684" s="337"/>
      <c r="O684" s="40" t="e">
        <f>SUM(#REF!)</f>
        <v>#REF!</v>
      </c>
    </row>
    <row r="685" spans="1:20" ht="29.25" hidden="1" customHeight="1">
      <c r="A685" s="59"/>
      <c r="B685" s="59"/>
      <c r="C685" s="1204" t="s">
        <v>52</v>
      </c>
      <c r="D685" s="1204"/>
      <c r="E685" s="1204"/>
      <c r="F685" s="1204"/>
      <c r="H685" s="1208" t="s">
        <v>941</v>
      </c>
      <c r="I685" s="1209"/>
      <c r="J685" s="1209"/>
      <c r="K685" s="1210"/>
      <c r="L685" s="336"/>
      <c r="M685" s="336"/>
      <c r="N685" s="336"/>
      <c r="O685" s="40" t="e">
        <f>SUM(O619,O684)</f>
        <v>#REF!</v>
      </c>
    </row>
    <row r="686" spans="1:20" ht="29.25" hidden="1" customHeight="1">
      <c r="A686" s="27"/>
      <c r="B686" s="27"/>
      <c r="C686" s="1204" t="s">
        <v>50</v>
      </c>
      <c r="D686" s="1204"/>
      <c r="E686" s="1204"/>
      <c r="F686" s="1204"/>
      <c r="H686" s="1211"/>
      <c r="I686" s="1212"/>
      <c r="J686" s="1212"/>
      <c r="K686" s="1213"/>
      <c r="L686" s="336"/>
      <c r="M686" s="336"/>
      <c r="N686" s="336"/>
    </row>
    <row r="687" spans="1:20" ht="39.950000000000003" hidden="1" customHeight="1">
      <c r="A687" s="27"/>
      <c r="B687" s="27"/>
      <c r="C687" s="11"/>
      <c r="D687" s="400"/>
      <c r="E687" s="11"/>
      <c r="F687" s="50"/>
      <c r="H687" s="1211" t="s">
        <v>22</v>
      </c>
      <c r="I687" s="1212"/>
      <c r="J687" s="1212"/>
      <c r="K687" s="477">
        <f>K722</f>
        <v>22910877</v>
      </c>
      <c r="L687" s="336"/>
      <c r="M687" s="336"/>
      <c r="N687" s="86"/>
    </row>
    <row r="688" spans="1:20" ht="43.5" hidden="1" customHeight="1" thickBot="1">
      <c r="A688" s="27"/>
      <c r="B688" s="27"/>
      <c r="C688" s="11"/>
      <c r="D688" s="11"/>
      <c r="E688" s="11"/>
      <c r="F688" s="50"/>
      <c r="H688" s="1283" t="s">
        <v>13</v>
      </c>
      <c r="I688" s="1284"/>
      <c r="J688" s="1284"/>
      <c r="K688" s="1285"/>
      <c r="L688" s="336"/>
      <c r="M688" s="336"/>
      <c r="N688" s="336"/>
    </row>
    <row r="689" spans="1:20" ht="33" hidden="1" customHeight="1">
      <c r="A689" s="346" t="s">
        <v>1059</v>
      </c>
      <c r="B689" s="1226" t="s">
        <v>1037</v>
      </c>
      <c r="C689" s="1226"/>
      <c r="D689" s="1226"/>
      <c r="E689" s="1226"/>
      <c r="F689" s="1226"/>
      <c r="G689" s="1226"/>
      <c r="H689" s="1226"/>
      <c r="I689" s="1226"/>
      <c r="J689" s="1226"/>
      <c r="K689" s="1226"/>
      <c r="L689" s="346"/>
      <c r="M689" s="346"/>
      <c r="N689" s="346"/>
      <c r="O689" s="27"/>
      <c r="P689" s="27"/>
      <c r="Q689" s="620"/>
      <c r="R689" s="27"/>
      <c r="S689" s="27"/>
      <c r="T689" s="27"/>
    </row>
    <row r="690" spans="1:20" s="500" customFormat="1" ht="90" hidden="1">
      <c r="A690" s="496" t="s">
        <v>14</v>
      </c>
      <c r="B690" s="497" t="s">
        <v>14</v>
      </c>
      <c r="C690" s="497" t="s">
        <v>37</v>
      </c>
      <c r="D690" s="497" t="s">
        <v>440</v>
      </c>
      <c r="E690" s="497" t="s">
        <v>16</v>
      </c>
      <c r="F690" s="497" t="s">
        <v>185</v>
      </c>
      <c r="G690" s="497" t="s">
        <v>178</v>
      </c>
      <c r="H690" s="497" t="s">
        <v>179</v>
      </c>
      <c r="I690" s="497" t="s">
        <v>180</v>
      </c>
      <c r="J690" s="497" t="s">
        <v>181</v>
      </c>
      <c r="K690" s="497" t="s">
        <v>200</v>
      </c>
      <c r="L690" s="496" t="s">
        <v>180</v>
      </c>
      <c r="M690" s="496" t="s">
        <v>181</v>
      </c>
      <c r="N690" s="496" t="s">
        <v>200</v>
      </c>
      <c r="O690" s="498"/>
      <c r="P690" s="498"/>
      <c r="Q690" s="622"/>
      <c r="R690" s="498"/>
      <c r="S690" s="498"/>
      <c r="T690" s="499"/>
    </row>
    <row r="691" spans="1:20" s="510" customFormat="1" ht="72" hidden="1" customHeight="1">
      <c r="A691" s="501"/>
      <c r="B691" s="502"/>
      <c r="C691" s="503" t="s">
        <v>447</v>
      </c>
      <c r="D691" s="504"/>
      <c r="E691" s="505"/>
      <c r="F691" s="504"/>
      <c r="G691" s="504"/>
      <c r="H691" s="504"/>
      <c r="I691" s="506">
        <f>SUM(I692:I706)</f>
        <v>10433800</v>
      </c>
      <c r="J691" s="506">
        <f>SUM(J692:J706)</f>
        <v>0</v>
      </c>
      <c r="K691" s="506">
        <f>I691+J691</f>
        <v>10433800</v>
      </c>
      <c r="L691" s="507">
        <f>SUM(L692:L706)</f>
        <v>10433800</v>
      </c>
      <c r="M691" s="507">
        <f>SUM(M692:M706)</f>
        <v>0</v>
      </c>
      <c r="N691" s="507">
        <f>L691+M691</f>
        <v>10433800</v>
      </c>
      <c r="O691" s="508"/>
      <c r="P691" s="508"/>
      <c r="Q691" s="623"/>
      <c r="R691" s="508"/>
      <c r="S691" s="508"/>
      <c r="T691" s="509"/>
    </row>
    <row r="692" spans="1:20" ht="38.25" hidden="1" customHeight="1">
      <c r="A692" s="273" t="s">
        <v>654</v>
      </c>
      <c r="B692" s="481" t="s">
        <v>654</v>
      </c>
      <c r="C692" s="482" t="s">
        <v>444</v>
      </c>
      <c r="D692" s="484" t="s">
        <v>1321</v>
      </c>
      <c r="E692" s="484" t="s">
        <v>788</v>
      </c>
      <c r="F692" s="524" t="s">
        <v>938</v>
      </c>
      <c r="G692" s="488" t="s">
        <v>19</v>
      </c>
      <c r="H692" s="489">
        <v>600</v>
      </c>
      <c r="I692" s="473">
        <f>L692</f>
        <v>437389</v>
      </c>
      <c r="J692" s="473">
        <f t="shared" ref="J692:J706" si="152">INT(M692*$R$139)</f>
        <v>0</v>
      </c>
      <c r="K692" s="473">
        <f>SUM(I692:J692)</f>
        <v>437389</v>
      </c>
      <c r="L692" s="167">
        <v>437389</v>
      </c>
      <c r="M692" s="167"/>
      <c r="N692" s="167">
        <f>SUM(L692:M692)</f>
        <v>437389</v>
      </c>
      <c r="O692" s="405"/>
      <c r="P692" s="405"/>
    </row>
    <row r="693" spans="1:20" ht="59.25" hidden="1" customHeight="1">
      <c r="A693" s="273" t="s">
        <v>915</v>
      </c>
      <c r="B693" s="481" t="s">
        <v>915</v>
      </c>
      <c r="C693" s="490" t="s">
        <v>916</v>
      </c>
      <c r="D693" s="484" t="s">
        <v>1321</v>
      </c>
      <c r="E693" s="484" t="s">
        <v>788</v>
      </c>
      <c r="F693" s="524" t="s">
        <v>938</v>
      </c>
      <c r="G693" s="488" t="s">
        <v>145</v>
      </c>
      <c r="H693" s="489">
        <v>2</v>
      </c>
      <c r="I693" s="473">
        <f t="shared" ref="I693:I704" si="153">INT(L693*$Q$139)</f>
        <v>3080000</v>
      </c>
      <c r="J693" s="473">
        <f t="shared" si="152"/>
        <v>0</v>
      </c>
      <c r="K693" s="473">
        <f>SUM(I693:J693)</f>
        <v>3080000</v>
      </c>
      <c r="L693" s="167">
        <f>2550000+530000</f>
        <v>3080000</v>
      </c>
      <c r="M693" s="167"/>
      <c r="N693" s="167">
        <f t="shared" ref="N693:N700" si="154">SUM(L693,M693)</f>
        <v>3080000</v>
      </c>
      <c r="O693" s="405"/>
      <c r="P693" s="405"/>
    </row>
    <row r="694" spans="1:20" ht="38.25" hidden="1" customHeight="1">
      <c r="A694" s="273"/>
      <c r="B694" s="481" t="s">
        <v>1044</v>
      </c>
      <c r="C694" s="482" t="s">
        <v>956</v>
      </c>
      <c r="D694" s="484" t="s">
        <v>1321</v>
      </c>
      <c r="E694" s="484" t="s">
        <v>788</v>
      </c>
      <c r="F694" s="524" t="s">
        <v>938</v>
      </c>
      <c r="G694" s="488" t="s">
        <v>1233</v>
      </c>
      <c r="H694" s="489">
        <v>600</v>
      </c>
      <c r="I694" s="473">
        <f t="shared" si="153"/>
        <v>660000</v>
      </c>
      <c r="J694" s="473">
        <f t="shared" si="152"/>
        <v>0</v>
      </c>
      <c r="K694" s="473">
        <f>SUM(I694:J694)</f>
        <v>660000</v>
      </c>
      <c r="L694" s="167">
        <v>660000</v>
      </c>
      <c r="M694" s="167"/>
      <c r="N694" s="167">
        <f t="shared" si="154"/>
        <v>660000</v>
      </c>
      <c r="O694" s="405"/>
      <c r="P694" s="405"/>
    </row>
    <row r="695" spans="1:20" ht="38.25" hidden="1" customHeight="1">
      <c r="A695" s="273"/>
      <c r="B695" s="481" t="s">
        <v>1045</v>
      </c>
      <c r="C695" s="482" t="s">
        <v>957</v>
      </c>
      <c r="D695" s="484" t="s">
        <v>1321</v>
      </c>
      <c r="E695" s="484" t="s">
        <v>788</v>
      </c>
      <c r="F695" s="524" t="s">
        <v>938</v>
      </c>
      <c r="G695" s="488" t="s">
        <v>147</v>
      </c>
      <c r="H695" s="489">
        <v>350</v>
      </c>
      <c r="I695" s="473">
        <f t="shared" si="153"/>
        <v>150000</v>
      </c>
      <c r="J695" s="473">
        <f t="shared" si="152"/>
        <v>0</v>
      </c>
      <c r="K695" s="473">
        <f>SUM(I695:J695)</f>
        <v>150000</v>
      </c>
      <c r="L695" s="167">
        <v>150000</v>
      </c>
      <c r="M695" s="167"/>
      <c r="N695" s="167">
        <f t="shared" si="154"/>
        <v>150000</v>
      </c>
      <c r="O695" s="405"/>
      <c r="P695" s="405"/>
    </row>
    <row r="696" spans="1:20" ht="38.25" hidden="1" customHeight="1">
      <c r="A696" s="273" t="s">
        <v>657</v>
      </c>
      <c r="B696" s="481" t="s">
        <v>657</v>
      </c>
      <c r="C696" s="482" t="s">
        <v>57</v>
      </c>
      <c r="D696" s="484" t="s">
        <v>1321</v>
      </c>
      <c r="E696" s="484" t="s">
        <v>788</v>
      </c>
      <c r="F696" s="524" t="s">
        <v>938</v>
      </c>
      <c r="G696" s="488" t="s">
        <v>147</v>
      </c>
      <c r="H696" s="489">
        <v>5000</v>
      </c>
      <c r="I696" s="473">
        <f t="shared" si="153"/>
        <v>1293012</v>
      </c>
      <c r="J696" s="473">
        <f t="shared" si="152"/>
        <v>0</v>
      </c>
      <c r="K696" s="473">
        <f t="shared" ref="K696:K706" si="155">SUM(I696:J696)</f>
        <v>1293012</v>
      </c>
      <c r="L696" s="167">
        <v>1293012</v>
      </c>
      <c r="M696" s="167"/>
      <c r="N696" s="167">
        <f t="shared" si="154"/>
        <v>1293012</v>
      </c>
      <c r="O696" s="405" t="s">
        <v>1069</v>
      </c>
      <c r="P696" s="405"/>
    </row>
    <row r="697" spans="1:20" ht="38.25" hidden="1" customHeight="1">
      <c r="A697" s="273"/>
      <c r="B697" s="481" t="s">
        <v>1046</v>
      </c>
      <c r="C697" s="482" t="s">
        <v>958</v>
      </c>
      <c r="D697" s="484" t="s">
        <v>1321</v>
      </c>
      <c r="E697" s="484" t="s">
        <v>788</v>
      </c>
      <c r="F697" s="524" t="s">
        <v>938</v>
      </c>
      <c r="G697" s="488" t="s">
        <v>147</v>
      </c>
      <c r="H697" s="489">
        <v>2500</v>
      </c>
      <c r="I697" s="473">
        <f t="shared" si="153"/>
        <v>495534</v>
      </c>
      <c r="J697" s="473">
        <f t="shared" si="152"/>
        <v>0</v>
      </c>
      <c r="K697" s="473">
        <f>SUM(I697:J697)</f>
        <v>495534</v>
      </c>
      <c r="L697" s="167">
        <v>495534</v>
      </c>
      <c r="M697" s="167"/>
      <c r="N697" s="167">
        <f t="shared" si="154"/>
        <v>495534</v>
      </c>
      <c r="O697" s="405"/>
      <c r="P697" s="405"/>
    </row>
    <row r="698" spans="1:20" ht="38.25" hidden="1" customHeight="1">
      <c r="A698" s="273" t="s">
        <v>658</v>
      </c>
      <c r="B698" s="481" t="s">
        <v>658</v>
      </c>
      <c r="C698" s="482" t="s">
        <v>158</v>
      </c>
      <c r="D698" s="484" t="s">
        <v>1321</v>
      </c>
      <c r="E698" s="484" t="s">
        <v>788</v>
      </c>
      <c r="F698" s="524" t="s">
        <v>938</v>
      </c>
      <c r="G698" s="488" t="s">
        <v>145</v>
      </c>
      <c r="H698" s="489">
        <v>100</v>
      </c>
      <c r="I698" s="473">
        <f t="shared" si="153"/>
        <v>100000</v>
      </c>
      <c r="J698" s="473">
        <f t="shared" si="152"/>
        <v>0</v>
      </c>
      <c r="K698" s="473">
        <f t="shared" si="155"/>
        <v>100000</v>
      </c>
      <c r="L698" s="167">
        <v>100000</v>
      </c>
      <c r="M698" s="167"/>
      <c r="N698" s="167">
        <f t="shared" si="154"/>
        <v>100000</v>
      </c>
      <c r="O698" s="405"/>
      <c r="P698" s="405"/>
    </row>
    <row r="699" spans="1:20" ht="38.25" hidden="1" customHeight="1">
      <c r="A699" s="273" t="s">
        <v>661</v>
      </c>
      <c r="B699" s="481" t="s">
        <v>1159</v>
      </c>
      <c r="C699" s="482" t="s">
        <v>322</v>
      </c>
      <c r="D699" s="484" t="s">
        <v>1321</v>
      </c>
      <c r="E699" s="484" t="s">
        <v>788</v>
      </c>
      <c r="F699" s="524" t="s">
        <v>938</v>
      </c>
      <c r="G699" s="488" t="s">
        <v>147</v>
      </c>
      <c r="H699" s="489">
        <v>250</v>
      </c>
      <c r="I699" s="473">
        <f t="shared" si="153"/>
        <v>30000</v>
      </c>
      <c r="J699" s="473">
        <f t="shared" si="152"/>
        <v>0</v>
      </c>
      <c r="K699" s="473">
        <f>SUM(I699:J699)</f>
        <v>30000</v>
      </c>
      <c r="L699" s="167">
        <v>30000</v>
      </c>
      <c r="M699" s="167"/>
      <c r="N699" s="167">
        <f t="shared" si="154"/>
        <v>30000</v>
      </c>
      <c r="O699" s="405"/>
      <c r="P699" s="405"/>
    </row>
    <row r="700" spans="1:20" ht="38.25" hidden="1" customHeight="1">
      <c r="A700" s="273"/>
      <c r="B700" s="481" t="s">
        <v>1047</v>
      </c>
      <c r="C700" s="482" t="s">
        <v>962</v>
      </c>
      <c r="D700" s="484" t="s">
        <v>1321</v>
      </c>
      <c r="E700" s="484" t="s">
        <v>788</v>
      </c>
      <c r="F700" s="524" t="s">
        <v>938</v>
      </c>
      <c r="G700" s="488" t="s">
        <v>147</v>
      </c>
      <c r="H700" s="489">
        <v>2000</v>
      </c>
      <c r="I700" s="473">
        <f t="shared" si="153"/>
        <v>448381</v>
      </c>
      <c r="J700" s="473">
        <f t="shared" si="152"/>
        <v>0</v>
      </c>
      <c r="K700" s="473">
        <f t="shared" si="155"/>
        <v>448381</v>
      </c>
      <c r="L700" s="167">
        <v>448381</v>
      </c>
      <c r="M700" s="167"/>
      <c r="N700" s="167">
        <f t="shared" si="154"/>
        <v>448381</v>
      </c>
      <c r="O700" s="405" t="s">
        <v>1073</v>
      </c>
      <c r="P700" s="405"/>
    </row>
    <row r="701" spans="1:20" ht="63.75" hidden="1" customHeight="1">
      <c r="A701" s="273" t="s">
        <v>867</v>
      </c>
      <c r="B701" s="481" t="s">
        <v>867</v>
      </c>
      <c r="C701" s="490" t="s">
        <v>379</v>
      </c>
      <c r="D701" s="484" t="s">
        <v>1321</v>
      </c>
      <c r="E701" s="484" t="s">
        <v>788</v>
      </c>
      <c r="F701" s="524" t="s">
        <v>938</v>
      </c>
      <c r="G701" s="488" t="s">
        <v>137</v>
      </c>
      <c r="H701" s="489">
        <v>20</v>
      </c>
      <c r="I701" s="473">
        <f t="shared" si="153"/>
        <v>56271</v>
      </c>
      <c r="J701" s="473">
        <f t="shared" si="152"/>
        <v>0</v>
      </c>
      <c r="K701" s="473">
        <f>SUM(I701:J701)</f>
        <v>56271</v>
      </c>
      <c r="L701" s="167">
        <v>56271</v>
      </c>
      <c r="M701" s="167"/>
      <c r="N701" s="167">
        <f>SUM(L701:M701)</f>
        <v>56271</v>
      </c>
      <c r="O701" s="405"/>
      <c r="P701" s="405"/>
    </row>
    <row r="702" spans="1:20" ht="38.25" hidden="1" customHeight="1">
      <c r="A702" s="273" t="s">
        <v>868</v>
      </c>
      <c r="B702" s="481" t="s">
        <v>868</v>
      </c>
      <c r="C702" s="482" t="s">
        <v>429</v>
      </c>
      <c r="D702" s="484" t="s">
        <v>1321</v>
      </c>
      <c r="E702" s="484" t="s">
        <v>788</v>
      </c>
      <c r="F702" s="524" t="s">
        <v>938</v>
      </c>
      <c r="G702" s="488" t="s">
        <v>215</v>
      </c>
      <c r="H702" s="489">
        <v>20</v>
      </c>
      <c r="I702" s="473">
        <f t="shared" si="153"/>
        <v>9665</v>
      </c>
      <c r="J702" s="473">
        <f t="shared" si="152"/>
        <v>0</v>
      </c>
      <c r="K702" s="473">
        <f>SUM(I702:J702)</f>
        <v>9665</v>
      </c>
      <c r="L702" s="167">
        <v>9665</v>
      </c>
      <c r="M702" s="167"/>
      <c r="N702" s="167">
        <f>SUM(L702:M702)</f>
        <v>9665</v>
      </c>
      <c r="O702" s="405"/>
      <c r="P702" s="405"/>
    </row>
    <row r="703" spans="1:20" ht="38.25" hidden="1" customHeight="1">
      <c r="A703" s="273" t="s">
        <v>869</v>
      </c>
      <c r="B703" s="481" t="s">
        <v>976</v>
      </c>
      <c r="C703" s="482" t="s">
        <v>277</v>
      </c>
      <c r="D703" s="484" t="s">
        <v>1321</v>
      </c>
      <c r="E703" s="484" t="s">
        <v>788</v>
      </c>
      <c r="F703" s="524" t="s">
        <v>938</v>
      </c>
      <c r="G703" s="488" t="s">
        <v>138</v>
      </c>
      <c r="H703" s="489">
        <v>2</v>
      </c>
      <c r="I703" s="473">
        <f t="shared" si="153"/>
        <v>160000</v>
      </c>
      <c r="J703" s="473">
        <f t="shared" si="152"/>
        <v>0</v>
      </c>
      <c r="K703" s="473">
        <f>SUM(I703:J703)</f>
        <v>160000</v>
      </c>
      <c r="L703" s="167">
        <v>160000</v>
      </c>
      <c r="M703" s="167"/>
      <c r="N703" s="167">
        <f>SUM(L703:M703)</f>
        <v>160000</v>
      </c>
      <c r="O703" s="405"/>
      <c r="P703" s="405"/>
    </row>
    <row r="704" spans="1:20" ht="54.75" hidden="1" customHeight="1">
      <c r="A704" s="273" t="s">
        <v>870</v>
      </c>
      <c r="B704" s="481" t="s">
        <v>870</v>
      </c>
      <c r="C704" s="490" t="s">
        <v>383</v>
      </c>
      <c r="D704" s="484" t="s">
        <v>1321</v>
      </c>
      <c r="E704" s="484" t="s">
        <v>788</v>
      </c>
      <c r="F704" s="524" t="s">
        <v>938</v>
      </c>
      <c r="G704" s="488" t="s">
        <v>137</v>
      </c>
      <c r="H704" s="489">
        <v>2</v>
      </c>
      <c r="I704" s="473">
        <f t="shared" si="153"/>
        <v>14029</v>
      </c>
      <c r="J704" s="473">
        <f t="shared" si="152"/>
        <v>0</v>
      </c>
      <c r="K704" s="473">
        <f>SUM(I704:J704)</f>
        <v>14029</v>
      </c>
      <c r="L704" s="167">
        <v>14029</v>
      </c>
      <c r="M704" s="167"/>
      <c r="N704" s="167">
        <f>SUM(L704:M704)</f>
        <v>14029</v>
      </c>
      <c r="O704" s="405"/>
      <c r="P704" s="405"/>
    </row>
    <row r="705" spans="1:20" ht="59.25" hidden="1" customHeight="1">
      <c r="A705" s="273" t="s">
        <v>913</v>
      </c>
      <c r="B705" s="481" t="s">
        <v>1158</v>
      </c>
      <c r="C705" s="490" t="s">
        <v>1070</v>
      </c>
      <c r="D705" s="484" t="s">
        <v>1321</v>
      </c>
      <c r="E705" s="484" t="s">
        <v>788</v>
      </c>
      <c r="F705" s="524" t="s">
        <v>938</v>
      </c>
      <c r="G705" s="488" t="s">
        <v>147</v>
      </c>
      <c r="H705" s="489">
        <v>3000</v>
      </c>
      <c r="I705" s="473">
        <f>L705</f>
        <v>1099519</v>
      </c>
      <c r="J705" s="473">
        <f t="shared" si="152"/>
        <v>0</v>
      </c>
      <c r="K705" s="473">
        <f t="shared" si="155"/>
        <v>1099519</v>
      </c>
      <c r="L705" s="167">
        <f>340000+660000+99519</f>
        <v>1099519</v>
      </c>
      <c r="M705" s="167"/>
      <c r="N705" s="167">
        <f>SUM(L705,M705)</f>
        <v>1099519</v>
      </c>
      <c r="O705" s="405" t="s">
        <v>1071</v>
      </c>
      <c r="P705" s="405"/>
    </row>
    <row r="706" spans="1:20" ht="38.25" hidden="1" customHeight="1">
      <c r="A706" s="273" t="s">
        <v>914</v>
      </c>
      <c r="B706" s="481" t="s">
        <v>914</v>
      </c>
      <c r="C706" s="482" t="s">
        <v>911</v>
      </c>
      <c r="D706" s="484" t="s">
        <v>1321</v>
      </c>
      <c r="E706" s="484" t="s">
        <v>788</v>
      </c>
      <c r="F706" s="524" t="s">
        <v>938</v>
      </c>
      <c r="G706" s="488" t="s">
        <v>59</v>
      </c>
      <c r="H706" s="489">
        <v>1000</v>
      </c>
      <c r="I706" s="473">
        <f>INT(L706*$Q$139)</f>
        <v>2400000</v>
      </c>
      <c r="J706" s="473">
        <f t="shared" si="152"/>
        <v>0</v>
      </c>
      <c r="K706" s="473">
        <f t="shared" si="155"/>
        <v>2400000</v>
      </c>
      <c r="L706" s="167">
        <v>2400000</v>
      </c>
      <c r="M706" s="167"/>
      <c r="N706" s="167">
        <f>SUM(L706,M706)</f>
        <v>2400000</v>
      </c>
      <c r="O706" s="405"/>
      <c r="P706" s="405"/>
    </row>
    <row r="707" spans="1:20" s="510" customFormat="1" ht="72" hidden="1" customHeight="1">
      <c r="A707" s="501"/>
      <c r="B707" s="502"/>
      <c r="C707" s="503" t="s">
        <v>723</v>
      </c>
      <c r="D707" s="504"/>
      <c r="E707" s="505"/>
      <c r="F707" s="504"/>
      <c r="G707" s="504"/>
      <c r="H707" s="504"/>
      <c r="I707" s="506">
        <f>SUM(I708:I721)</f>
        <v>12477077</v>
      </c>
      <c r="J707" s="506">
        <f>SUM(J708:J721)</f>
        <v>0</v>
      </c>
      <c r="K707" s="506">
        <f>I707+J707</f>
        <v>12477077</v>
      </c>
      <c r="L707" s="507">
        <f>SUM(L708:L721)</f>
        <v>12477077</v>
      </c>
      <c r="M707" s="507">
        <f>SUM(M708:M721)</f>
        <v>0</v>
      </c>
      <c r="N707" s="507">
        <f>L707+M707</f>
        <v>12477077</v>
      </c>
      <c r="O707" s="508"/>
      <c r="P707" s="508"/>
      <c r="Q707" s="623"/>
      <c r="R707" s="508"/>
      <c r="S707" s="508"/>
      <c r="T707" s="509"/>
    </row>
    <row r="708" spans="1:20" ht="38.25" hidden="1" customHeight="1">
      <c r="A708" s="273" t="s">
        <v>755</v>
      </c>
      <c r="B708" s="481" t="s">
        <v>755</v>
      </c>
      <c r="C708" s="482" t="s">
        <v>302</v>
      </c>
      <c r="D708" s="484" t="s">
        <v>1321</v>
      </c>
      <c r="E708" s="484" t="s">
        <v>791</v>
      </c>
      <c r="F708" s="524" t="s">
        <v>938</v>
      </c>
      <c r="G708" s="488" t="s">
        <v>147</v>
      </c>
      <c r="H708" s="489">
        <v>1570</v>
      </c>
      <c r="I708" s="473">
        <f t="shared" ref="I708:I721" si="156">INT(L708*$Q$139)</f>
        <v>7006000</v>
      </c>
      <c r="J708" s="473">
        <f t="shared" ref="J708:J721" si="157">INT(M708*$R$139)</f>
        <v>0</v>
      </c>
      <c r="K708" s="473">
        <f t="shared" ref="K708:K721" si="158">SUM(I708:J708)</f>
        <v>7006000</v>
      </c>
      <c r="L708" s="167">
        <f>7536000-530000</f>
        <v>7006000</v>
      </c>
      <c r="M708" s="167"/>
      <c r="N708" s="167">
        <f t="shared" ref="N708:N721" si="159">SUM(L708,M708)</f>
        <v>7006000</v>
      </c>
      <c r="O708" s="405"/>
      <c r="P708" s="405"/>
    </row>
    <row r="709" spans="1:20" ht="38.25" hidden="1" customHeight="1">
      <c r="A709" s="273" t="s">
        <v>758</v>
      </c>
      <c r="B709" s="481" t="s">
        <v>758</v>
      </c>
      <c r="C709" s="482" t="s">
        <v>450</v>
      </c>
      <c r="D709" s="484" t="s">
        <v>1321</v>
      </c>
      <c r="E709" s="484" t="s">
        <v>791</v>
      </c>
      <c r="F709" s="524" t="s">
        <v>938</v>
      </c>
      <c r="G709" s="488" t="s">
        <v>147</v>
      </c>
      <c r="H709" s="489">
        <v>200</v>
      </c>
      <c r="I709" s="473">
        <f t="shared" si="156"/>
        <v>200000</v>
      </c>
      <c r="J709" s="473">
        <f t="shared" si="157"/>
        <v>0</v>
      </c>
      <c r="K709" s="473">
        <f t="shared" si="158"/>
        <v>200000</v>
      </c>
      <c r="L709" s="167">
        <v>200000</v>
      </c>
      <c r="M709" s="167"/>
      <c r="N709" s="167">
        <f t="shared" si="159"/>
        <v>200000</v>
      </c>
      <c r="O709" s="405"/>
      <c r="P709" s="405"/>
    </row>
    <row r="710" spans="1:20" ht="38.25" hidden="1" customHeight="1">
      <c r="A710" s="273" t="s">
        <v>759</v>
      </c>
      <c r="B710" s="481" t="s">
        <v>759</v>
      </c>
      <c r="C710" s="482" t="s">
        <v>321</v>
      </c>
      <c r="D710" s="484" t="s">
        <v>1321</v>
      </c>
      <c r="E710" s="484" t="s">
        <v>791</v>
      </c>
      <c r="F710" s="524" t="s">
        <v>938</v>
      </c>
      <c r="G710" s="488" t="s">
        <v>147</v>
      </c>
      <c r="H710" s="489">
        <v>350</v>
      </c>
      <c r="I710" s="473">
        <f t="shared" si="156"/>
        <v>1680000</v>
      </c>
      <c r="J710" s="473">
        <f t="shared" si="157"/>
        <v>0</v>
      </c>
      <c r="K710" s="473">
        <f t="shared" si="158"/>
        <v>1680000</v>
      </c>
      <c r="L710" s="167">
        <v>1680000</v>
      </c>
      <c r="M710" s="167"/>
      <c r="N710" s="167">
        <f t="shared" si="159"/>
        <v>1680000</v>
      </c>
      <c r="O710" s="405"/>
      <c r="P710" s="405"/>
    </row>
    <row r="711" spans="1:20" ht="38.25" hidden="1" customHeight="1">
      <c r="A711" s="273" t="s">
        <v>763</v>
      </c>
      <c r="B711" s="481" t="s">
        <v>763</v>
      </c>
      <c r="C711" s="482" t="s">
        <v>396</v>
      </c>
      <c r="D711" s="484" t="s">
        <v>1321</v>
      </c>
      <c r="E711" s="484" t="s">
        <v>791</v>
      </c>
      <c r="F711" s="524" t="s">
        <v>938</v>
      </c>
      <c r="G711" s="488" t="s">
        <v>147</v>
      </c>
      <c r="H711" s="489">
        <v>30</v>
      </c>
      <c r="I711" s="473">
        <f t="shared" si="156"/>
        <v>144000</v>
      </c>
      <c r="J711" s="473">
        <f t="shared" si="157"/>
        <v>0</v>
      </c>
      <c r="K711" s="473">
        <f t="shared" si="158"/>
        <v>144000</v>
      </c>
      <c r="L711" s="167">
        <v>144000</v>
      </c>
      <c r="M711" s="167"/>
      <c r="N711" s="167">
        <f t="shared" si="159"/>
        <v>144000</v>
      </c>
      <c r="O711" s="405"/>
      <c r="P711" s="405"/>
    </row>
    <row r="712" spans="1:20" ht="57.75" hidden="1" customHeight="1">
      <c r="A712" s="273" t="s">
        <v>764</v>
      </c>
      <c r="B712" s="481" t="s">
        <v>764</v>
      </c>
      <c r="C712" s="490" t="s">
        <v>395</v>
      </c>
      <c r="D712" s="484" t="s">
        <v>1321</v>
      </c>
      <c r="E712" s="484" t="s">
        <v>791</v>
      </c>
      <c r="F712" s="524" t="s">
        <v>938</v>
      </c>
      <c r="G712" s="488" t="s">
        <v>147</v>
      </c>
      <c r="H712" s="489">
        <v>30</v>
      </c>
      <c r="I712" s="473">
        <f t="shared" si="156"/>
        <v>144000</v>
      </c>
      <c r="J712" s="473">
        <f t="shared" si="157"/>
        <v>0</v>
      </c>
      <c r="K712" s="473">
        <f t="shared" si="158"/>
        <v>144000</v>
      </c>
      <c r="L712" s="167">
        <v>144000</v>
      </c>
      <c r="M712" s="167"/>
      <c r="N712" s="167">
        <f t="shared" si="159"/>
        <v>144000</v>
      </c>
      <c r="O712" s="405"/>
      <c r="P712" s="405"/>
    </row>
    <row r="713" spans="1:20" ht="38.25" hidden="1" customHeight="1">
      <c r="A713" s="273" t="s">
        <v>765</v>
      </c>
      <c r="B713" s="481" t="s">
        <v>765</v>
      </c>
      <c r="C713" s="482" t="s">
        <v>475</v>
      </c>
      <c r="D713" s="484" t="s">
        <v>1321</v>
      </c>
      <c r="E713" s="484" t="s">
        <v>791</v>
      </c>
      <c r="F713" s="524" t="s">
        <v>938</v>
      </c>
      <c r="G713" s="488" t="s">
        <v>147</v>
      </c>
      <c r="H713" s="489">
        <v>100</v>
      </c>
      <c r="I713" s="473">
        <f t="shared" si="156"/>
        <v>50000</v>
      </c>
      <c r="J713" s="473">
        <f t="shared" si="157"/>
        <v>0</v>
      </c>
      <c r="K713" s="473">
        <f t="shared" si="158"/>
        <v>50000</v>
      </c>
      <c r="L713" s="167">
        <v>50000</v>
      </c>
      <c r="M713" s="167"/>
      <c r="N713" s="167">
        <f t="shared" si="159"/>
        <v>50000</v>
      </c>
      <c r="O713" s="405" t="s">
        <v>918</v>
      </c>
      <c r="P713" s="405"/>
    </row>
    <row r="714" spans="1:20" ht="38.25" hidden="1" customHeight="1">
      <c r="A714" s="273" t="s">
        <v>766</v>
      </c>
      <c r="B714" s="481" t="s">
        <v>766</v>
      </c>
      <c r="C714" s="482" t="s">
        <v>476</v>
      </c>
      <c r="D714" s="484" t="s">
        <v>1321</v>
      </c>
      <c r="E714" s="484" t="s">
        <v>791</v>
      </c>
      <c r="F714" s="524" t="s">
        <v>938</v>
      </c>
      <c r="G714" s="488" t="s">
        <v>255</v>
      </c>
      <c r="H714" s="489">
        <v>10</v>
      </c>
      <c r="I714" s="473">
        <f t="shared" si="156"/>
        <v>480000</v>
      </c>
      <c r="J714" s="473">
        <f t="shared" si="157"/>
        <v>0</v>
      </c>
      <c r="K714" s="473">
        <f t="shared" si="158"/>
        <v>480000</v>
      </c>
      <c r="L714" s="167">
        <v>480000</v>
      </c>
      <c r="M714" s="167"/>
      <c r="N714" s="167">
        <f t="shared" si="159"/>
        <v>480000</v>
      </c>
      <c r="O714" s="405" t="s">
        <v>912</v>
      </c>
      <c r="P714" s="405"/>
    </row>
    <row r="715" spans="1:20" ht="38.25" hidden="1" customHeight="1">
      <c r="A715" s="273"/>
      <c r="B715" s="481" t="s">
        <v>1207</v>
      </c>
      <c r="C715" s="482" t="s">
        <v>965</v>
      </c>
      <c r="D715" s="484" t="s">
        <v>1321</v>
      </c>
      <c r="E715" s="484" t="s">
        <v>791</v>
      </c>
      <c r="F715" s="524" t="s">
        <v>938</v>
      </c>
      <c r="G715" s="488" t="s">
        <v>147</v>
      </c>
      <c r="H715" s="489">
        <v>100</v>
      </c>
      <c r="I715" s="473">
        <f t="shared" si="156"/>
        <v>500000</v>
      </c>
      <c r="J715" s="473">
        <f t="shared" si="157"/>
        <v>0</v>
      </c>
      <c r="K715" s="473">
        <f t="shared" si="158"/>
        <v>500000</v>
      </c>
      <c r="L715" s="167">
        <v>500000</v>
      </c>
      <c r="M715" s="167"/>
      <c r="N715" s="167">
        <f t="shared" si="159"/>
        <v>500000</v>
      </c>
      <c r="O715" s="405"/>
      <c r="P715" s="405"/>
    </row>
    <row r="716" spans="1:20" ht="57.75" hidden="1" customHeight="1">
      <c r="A716" s="273"/>
      <c r="B716" s="481" t="s">
        <v>1208</v>
      </c>
      <c r="C716" s="490" t="s">
        <v>966</v>
      </c>
      <c r="D716" s="484" t="s">
        <v>1321</v>
      </c>
      <c r="E716" s="484" t="s">
        <v>791</v>
      </c>
      <c r="F716" s="524" t="s">
        <v>938</v>
      </c>
      <c r="G716" s="488" t="s">
        <v>147</v>
      </c>
      <c r="H716" s="489">
        <v>220</v>
      </c>
      <c r="I716" s="473">
        <f t="shared" si="156"/>
        <v>1200000</v>
      </c>
      <c r="J716" s="473">
        <f t="shared" si="157"/>
        <v>0</v>
      </c>
      <c r="K716" s="473">
        <f t="shared" si="158"/>
        <v>1200000</v>
      </c>
      <c r="L716" s="167">
        <v>1200000</v>
      </c>
      <c r="M716" s="167"/>
      <c r="N716" s="167">
        <f t="shared" si="159"/>
        <v>1200000</v>
      </c>
      <c r="O716" s="405"/>
      <c r="P716" s="405"/>
    </row>
    <row r="717" spans="1:20" ht="38.25" hidden="1" customHeight="1">
      <c r="A717" s="273"/>
      <c r="B717" s="481" t="s">
        <v>1209</v>
      </c>
      <c r="C717" s="482" t="s">
        <v>967</v>
      </c>
      <c r="D717" s="484" t="s">
        <v>1321</v>
      </c>
      <c r="E717" s="484" t="s">
        <v>791</v>
      </c>
      <c r="F717" s="524" t="s">
        <v>938</v>
      </c>
      <c r="G717" s="488" t="s">
        <v>147</v>
      </c>
      <c r="H717" s="489">
        <v>30</v>
      </c>
      <c r="I717" s="473">
        <f t="shared" si="156"/>
        <v>100000</v>
      </c>
      <c r="J717" s="473">
        <f t="shared" si="157"/>
        <v>0</v>
      </c>
      <c r="K717" s="473">
        <f t="shared" si="158"/>
        <v>100000</v>
      </c>
      <c r="L717" s="167">
        <v>100000</v>
      </c>
      <c r="M717" s="167"/>
      <c r="N717" s="167">
        <f t="shared" si="159"/>
        <v>100000</v>
      </c>
      <c r="O717" s="405"/>
      <c r="P717" s="405"/>
    </row>
    <row r="718" spans="1:20" ht="38.25" hidden="1" customHeight="1">
      <c r="A718" s="273"/>
      <c r="B718" s="481" t="s">
        <v>1210</v>
      </c>
      <c r="C718" s="482" t="s">
        <v>968</v>
      </c>
      <c r="D718" s="484" t="s">
        <v>1321</v>
      </c>
      <c r="E718" s="484" t="s">
        <v>791</v>
      </c>
      <c r="F718" s="524" t="s">
        <v>938</v>
      </c>
      <c r="G718" s="488" t="s">
        <v>147</v>
      </c>
      <c r="H718" s="489">
        <v>30</v>
      </c>
      <c r="I718" s="473">
        <f t="shared" si="156"/>
        <v>100000</v>
      </c>
      <c r="J718" s="473">
        <f t="shared" si="157"/>
        <v>0</v>
      </c>
      <c r="K718" s="473">
        <f t="shared" si="158"/>
        <v>100000</v>
      </c>
      <c r="L718" s="167">
        <v>100000</v>
      </c>
      <c r="M718" s="167"/>
      <c r="N718" s="167">
        <f t="shared" si="159"/>
        <v>100000</v>
      </c>
      <c r="O718" s="405"/>
      <c r="P718" s="405"/>
    </row>
    <row r="719" spans="1:20" ht="59.25" hidden="1" customHeight="1">
      <c r="A719" s="273"/>
      <c r="B719" s="481" t="s">
        <v>1211</v>
      </c>
      <c r="C719" s="490" t="s">
        <v>969</v>
      </c>
      <c r="D719" s="484" t="s">
        <v>1321</v>
      </c>
      <c r="E719" s="484" t="s">
        <v>791</v>
      </c>
      <c r="F719" s="524" t="s">
        <v>938</v>
      </c>
      <c r="G719" s="488" t="s">
        <v>147</v>
      </c>
      <c r="H719" s="489">
        <v>30</v>
      </c>
      <c r="I719" s="473">
        <f t="shared" si="156"/>
        <v>360000</v>
      </c>
      <c r="J719" s="473">
        <f t="shared" si="157"/>
        <v>0</v>
      </c>
      <c r="K719" s="473">
        <f t="shared" si="158"/>
        <v>360000</v>
      </c>
      <c r="L719" s="167">
        <v>360000</v>
      </c>
      <c r="M719" s="167"/>
      <c r="N719" s="167">
        <f t="shared" si="159"/>
        <v>360000</v>
      </c>
      <c r="O719" s="405"/>
      <c r="P719" s="405"/>
    </row>
    <row r="720" spans="1:20" ht="38.25" hidden="1" customHeight="1">
      <c r="A720" s="273"/>
      <c r="B720" s="481" t="s">
        <v>1212</v>
      </c>
      <c r="C720" s="482" t="s">
        <v>963</v>
      </c>
      <c r="D720" s="484" t="s">
        <v>1321</v>
      </c>
      <c r="E720" s="484" t="s">
        <v>791</v>
      </c>
      <c r="F720" s="524" t="s">
        <v>938</v>
      </c>
      <c r="G720" s="488" t="s">
        <v>147</v>
      </c>
      <c r="H720" s="489">
        <v>50</v>
      </c>
      <c r="I720" s="473">
        <f t="shared" si="156"/>
        <v>236909</v>
      </c>
      <c r="J720" s="473">
        <f t="shared" si="157"/>
        <v>0</v>
      </c>
      <c r="K720" s="473">
        <f t="shared" si="158"/>
        <v>236909</v>
      </c>
      <c r="L720" s="167">
        <v>236909</v>
      </c>
      <c r="M720" s="167"/>
      <c r="N720" s="167">
        <f t="shared" si="159"/>
        <v>236909</v>
      </c>
      <c r="O720" s="405"/>
      <c r="P720" s="405"/>
    </row>
    <row r="721" spans="1:20" ht="38.25" hidden="1" customHeight="1">
      <c r="A721" s="273"/>
      <c r="B721" s="481" t="s">
        <v>1213</v>
      </c>
      <c r="C721" s="482" t="s">
        <v>964</v>
      </c>
      <c r="D721" s="484" t="s">
        <v>1321</v>
      </c>
      <c r="E721" s="484" t="s">
        <v>791</v>
      </c>
      <c r="F721" s="524" t="s">
        <v>938</v>
      </c>
      <c r="G721" s="488" t="s">
        <v>255</v>
      </c>
      <c r="H721" s="489">
        <v>100</v>
      </c>
      <c r="I721" s="473">
        <f t="shared" si="156"/>
        <v>276168</v>
      </c>
      <c r="J721" s="473">
        <f t="shared" si="157"/>
        <v>0</v>
      </c>
      <c r="K721" s="473">
        <f t="shared" si="158"/>
        <v>276168</v>
      </c>
      <c r="L721" s="167">
        <v>276168</v>
      </c>
      <c r="M721" s="167"/>
      <c r="N721" s="167">
        <f t="shared" si="159"/>
        <v>276168</v>
      </c>
      <c r="O721" s="405"/>
      <c r="P721" s="405"/>
    </row>
    <row r="722" spans="1:20" s="472" customFormat="1" ht="45" hidden="1" customHeight="1">
      <c r="A722" s="478" t="s">
        <v>200</v>
      </c>
      <c r="B722" s="1263" t="s">
        <v>200</v>
      </c>
      <c r="C722" s="1264"/>
      <c r="D722" s="1264"/>
      <c r="E722" s="1264"/>
      <c r="F722" s="1264"/>
      <c r="G722" s="1264"/>
      <c r="H722" s="1265"/>
      <c r="I722" s="479">
        <f t="shared" ref="I722:N722" si="160">SUM(I691,I707)</f>
        <v>22910877</v>
      </c>
      <c r="J722" s="479">
        <f t="shared" si="160"/>
        <v>0</v>
      </c>
      <c r="K722" s="479">
        <f t="shared" si="160"/>
        <v>22910877</v>
      </c>
      <c r="L722" s="480">
        <f t="shared" si="160"/>
        <v>22910877</v>
      </c>
      <c r="M722" s="480">
        <f t="shared" si="160"/>
        <v>0</v>
      </c>
      <c r="N722" s="480">
        <f t="shared" si="160"/>
        <v>22910877</v>
      </c>
      <c r="O722" s="470"/>
      <c r="P722" s="470"/>
      <c r="Q722" s="622"/>
      <c r="R722" s="470"/>
      <c r="S722" s="470"/>
      <c r="T722" s="471"/>
    </row>
    <row r="723" spans="1:20" ht="61.5" hidden="1" customHeight="1">
      <c r="A723" s="37" t="s">
        <v>532</v>
      </c>
      <c r="B723" s="1294" t="s">
        <v>1287</v>
      </c>
      <c r="C723" s="1294"/>
      <c r="D723" s="1294"/>
      <c r="E723" s="1294"/>
      <c r="F723" s="1294"/>
      <c r="G723" s="1294"/>
      <c r="H723" s="1294"/>
      <c r="I723" s="1294"/>
      <c r="J723" s="1294"/>
      <c r="K723" s="1294"/>
      <c r="L723" s="338"/>
      <c r="M723" s="338"/>
      <c r="N723" s="338"/>
      <c r="P723" s="27"/>
      <c r="Q723" s="620"/>
      <c r="R723" s="27"/>
      <c r="S723" s="27"/>
      <c r="T723" s="27"/>
    </row>
    <row r="724" spans="1:20" ht="61.5" hidden="1" customHeight="1">
      <c r="A724" s="23"/>
      <c r="B724" s="1294" t="s">
        <v>1288</v>
      </c>
      <c r="C724" s="1294"/>
      <c r="D724" s="1294"/>
      <c r="E724" s="1294"/>
      <c r="F724" s="1294"/>
      <c r="G724" s="1294"/>
      <c r="H724" s="1294"/>
      <c r="I724" s="1294"/>
      <c r="J724" s="1294"/>
      <c r="K724" s="1294"/>
      <c r="L724" s="101"/>
      <c r="M724" s="101"/>
      <c r="N724" s="101"/>
      <c r="P724" s="27"/>
      <c r="Q724" s="620"/>
      <c r="R724" s="27"/>
      <c r="S724" s="27"/>
      <c r="T724" s="27"/>
    </row>
    <row r="725" spans="1:20" ht="67.5" hidden="1" customHeight="1">
      <c r="A725" s="23"/>
      <c r="B725" s="1294" t="s">
        <v>1289</v>
      </c>
      <c r="C725" s="1294"/>
      <c r="D725" s="1294"/>
      <c r="E725" s="1294"/>
      <c r="F725" s="1294"/>
      <c r="G725" s="1294"/>
      <c r="H725" s="1294"/>
      <c r="I725" s="1294"/>
      <c r="J725" s="1294"/>
      <c r="K725" s="1294"/>
      <c r="L725" s="101"/>
      <c r="M725" s="101"/>
      <c r="N725" s="101"/>
      <c r="P725" s="27"/>
      <c r="Q725" s="620"/>
      <c r="R725" s="27"/>
      <c r="S725" s="27"/>
      <c r="T725" s="27"/>
    </row>
    <row r="726" spans="1:20" ht="45.75" hidden="1" customHeight="1">
      <c r="A726" s="23"/>
      <c r="B726" s="1294" t="s">
        <v>1290</v>
      </c>
      <c r="C726" s="1294"/>
      <c r="D726" s="1294"/>
      <c r="E726" s="1294"/>
      <c r="F726" s="1294"/>
      <c r="G726" s="1294"/>
      <c r="H726" s="1294"/>
      <c r="I726" s="1294"/>
      <c r="J726" s="1294"/>
      <c r="K726" s="1294"/>
      <c r="L726" s="102"/>
      <c r="M726" s="84"/>
      <c r="N726" s="103"/>
      <c r="P726" s="27"/>
      <c r="Q726" s="620"/>
      <c r="R726" s="27"/>
      <c r="S726" s="27"/>
      <c r="T726" s="27"/>
    </row>
    <row r="727" spans="1:20" ht="20.100000000000001" hidden="1" customHeight="1">
      <c r="A727" s="23"/>
      <c r="B727" s="23"/>
      <c r="C727" s="101"/>
      <c r="D727" s="101"/>
      <c r="E727" s="101"/>
      <c r="F727" s="23"/>
      <c r="G727" s="88"/>
      <c r="H727" s="100"/>
      <c r="I727" s="100"/>
      <c r="J727" s="100"/>
      <c r="K727" s="100"/>
      <c r="L727" s="102"/>
      <c r="M727" s="84"/>
      <c r="N727" s="103"/>
      <c r="P727" s="27"/>
      <c r="Q727" s="620"/>
      <c r="R727" s="27"/>
      <c r="S727" s="27"/>
      <c r="T727" s="27"/>
    </row>
    <row r="728" spans="1:20" ht="20.100000000000001" hidden="1" customHeight="1">
      <c r="A728" s="23"/>
      <c r="B728" s="23"/>
      <c r="C728" s="101"/>
      <c r="D728" s="101"/>
      <c r="E728" s="101"/>
      <c r="F728" s="23"/>
      <c r="G728" s="88"/>
      <c r="H728" s="100"/>
      <c r="I728" s="100"/>
      <c r="J728" s="100"/>
      <c r="K728" s="100"/>
      <c r="L728" s="102"/>
      <c r="M728" s="84"/>
      <c r="N728" s="103"/>
      <c r="P728" s="27"/>
      <c r="Q728" s="620"/>
      <c r="R728" s="27"/>
      <c r="S728" s="27"/>
      <c r="T728" s="27"/>
    </row>
    <row r="729" spans="1:20" ht="20.100000000000001" hidden="1" customHeight="1" thickBot="1">
      <c r="A729" s="23"/>
      <c r="B729" s="23"/>
      <c r="C729" s="101"/>
      <c r="D729" s="101"/>
      <c r="E729" s="101"/>
      <c r="F729" s="23"/>
      <c r="G729" s="88"/>
      <c r="H729" s="100"/>
      <c r="I729" s="100"/>
      <c r="J729" s="100"/>
      <c r="K729" s="100"/>
      <c r="L729" s="102"/>
      <c r="M729" s="84"/>
      <c r="N729" s="103"/>
      <c r="P729" s="27"/>
      <c r="Q729" s="620"/>
      <c r="R729" s="27"/>
      <c r="S729" s="27"/>
      <c r="T729" s="27"/>
    </row>
    <row r="730" spans="1:20" ht="28.5" hidden="1" customHeight="1">
      <c r="A730" s="59"/>
      <c r="B730" s="59"/>
      <c r="C730" s="1204" t="s">
        <v>51</v>
      </c>
      <c r="D730" s="1204"/>
      <c r="E730" s="1204"/>
      <c r="F730" s="1204"/>
      <c r="G730" s="68"/>
      <c r="H730" s="1243" t="s">
        <v>11</v>
      </c>
      <c r="I730" s="1244"/>
      <c r="J730" s="1244"/>
      <c r="K730" s="1245"/>
      <c r="L730" s="337"/>
      <c r="M730" s="337"/>
      <c r="N730" s="337"/>
      <c r="P730" s="27"/>
      <c r="Q730" s="620"/>
      <c r="R730" s="27"/>
      <c r="S730" s="27"/>
      <c r="T730" s="27"/>
    </row>
    <row r="731" spans="1:20" ht="28.5" hidden="1" customHeight="1">
      <c r="A731" s="59"/>
      <c r="B731" s="59"/>
      <c r="C731" s="1204" t="s">
        <v>52</v>
      </c>
      <c r="D731" s="1204"/>
      <c r="E731" s="1204"/>
      <c r="F731" s="1204"/>
      <c r="G731" s="68"/>
      <c r="H731" s="1208" t="s">
        <v>368</v>
      </c>
      <c r="I731" s="1209"/>
      <c r="J731" s="1209"/>
      <c r="K731" s="1210"/>
      <c r="L731" s="336"/>
      <c r="M731" s="336"/>
      <c r="N731" s="336"/>
      <c r="P731" s="27"/>
      <c r="Q731" s="620"/>
      <c r="R731" s="27"/>
      <c r="S731" s="27"/>
      <c r="T731" s="27"/>
    </row>
    <row r="732" spans="1:20" ht="28.5" hidden="1" customHeight="1">
      <c r="A732" s="59"/>
      <c r="B732" s="59"/>
      <c r="C732" s="1204" t="s">
        <v>50</v>
      </c>
      <c r="D732" s="1204"/>
      <c r="E732" s="1204"/>
      <c r="F732" s="1204"/>
      <c r="G732" s="68"/>
      <c r="H732" s="1211"/>
      <c r="I732" s="1212"/>
      <c r="J732" s="1212"/>
      <c r="K732" s="1213"/>
      <c r="L732" s="336"/>
      <c r="M732" s="336"/>
      <c r="N732" s="336"/>
      <c r="P732" s="27"/>
      <c r="Q732" s="620"/>
      <c r="R732" s="27"/>
      <c r="S732" s="27"/>
      <c r="T732" s="27"/>
    </row>
    <row r="733" spans="1:20" ht="39.950000000000003" hidden="1" customHeight="1">
      <c r="A733" s="65"/>
      <c r="B733" s="65"/>
      <c r="C733" s="65"/>
      <c r="D733" s="65"/>
      <c r="E733" s="65"/>
      <c r="F733" s="65"/>
      <c r="G733" s="68"/>
      <c r="H733" s="1211" t="s">
        <v>22</v>
      </c>
      <c r="I733" s="1212"/>
      <c r="J733" s="1212"/>
      <c r="K733" s="477">
        <f>K755</f>
        <v>90000</v>
      </c>
      <c r="L733" s="336"/>
      <c r="M733" s="336"/>
      <c r="N733" s="86"/>
      <c r="P733" s="27"/>
      <c r="Q733" s="620"/>
      <c r="R733" s="27"/>
      <c r="S733" s="27"/>
      <c r="T733" s="27"/>
    </row>
    <row r="734" spans="1:20" ht="34.5" hidden="1" customHeight="1" thickBot="1">
      <c r="A734" s="65"/>
      <c r="B734" s="65"/>
      <c r="C734" s="65"/>
      <c r="D734" s="65"/>
      <c r="E734" s="65"/>
      <c r="F734" s="65"/>
      <c r="G734" s="68"/>
      <c r="H734" s="1283" t="s">
        <v>13</v>
      </c>
      <c r="I734" s="1284"/>
      <c r="J734" s="1284"/>
      <c r="K734" s="1285"/>
      <c r="L734" s="336"/>
      <c r="M734" s="336"/>
      <c r="N734" s="336"/>
      <c r="P734" s="27"/>
      <c r="Q734" s="620"/>
      <c r="R734" s="27"/>
      <c r="S734" s="27"/>
      <c r="T734" s="27"/>
    </row>
    <row r="735" spans="1:20" ht="20.100000000000001" hidden="1" customHeight="1">
      <c r="A735" s="65"/>
      <c r="B735" s="65"/>
      <c r="C735" s="65"/>
      <c r="D735" s="65"/>
      <c r="E735" s="65"/>
      <c r="F735" s="65"/>
      <c r="G735" s="68"/>
      <c r="H735" s="68"/>
      <c r="I735" s="68"/>
      <c r="J735" s="68"/>
      <c r="K735" s="68"/>
      <c r="L735" s="65"/>
      <c r="M735" s="65"/>
      <c r="N735" s="65"/>
    </row>
    <row r="736" spans="1:20" ht="20.100000000000001" hidden="1" customHeight="1">
      <c r="A736" s="65"/>
      <c r="B736" s="65"/>
      <c r="C736" s="65"/>
      <c r="D736" s="65"/>
      <c r="E736" s="65"/>
      <c r="F736" s="65"/>
      <c r="G736" s="68"/>
      <c r="H736" s="68"/>
      <c r="I736" s="68"/>
      <c r="J736" s="68"/>
      <c r="K736" s="68"/>
      <c r="L736" s="65"/>
      <c r="M736" s="65"/>
      <c r="N736" s="65"/>
    </row>
    <row r="737" spans="1:20" ht="20.100000000000001" hidden="1" customHeight="1">
      <c r="A737" s="65"/>
      <c r="B737" s="65"/>
      <c r="C737" s="65"/>
      <c r="D737" s="65"/>
      <c r="E737" s="65"/>
      <c r="F737" s="65"/>
      <c r="G737" s="68"/>
      <c r="H737" s="68"/>
      <c r="I737" s="68"/>
      <c r="J737" s="68"/>
      <c r="K737" s="68"/>
      <c r="L737" s="65"/>
      <c r="M737" s="65"/>
      <c r="N737" s="65"/>
    </row>
    <row r="738" spans="1:20" ht="16.5" hidden="1" customHeight="1">
      <c r="A738" s="65"/>
      <c r="B738" s="65"/>
      <c r="C738" s="65"/>
      <c r="D738" s="65"/>
      <c r="E738" s="65"/>
      <c r="F738" s="65"/>
      <c r="G738" s="68"/>
      <c r="H738" s="68"/>
      <c r="I738" s="68"/>
      <c r="J738" s="68"/>
      <c r="K738" s="68"/>
      <c r="L738" s="65"/>
      <c r="M738" s="65"/>
      <c r="N738" s="65"/>
    </row>
    <row r="739" spans="1:20" ht="44.25" hidden="1" customHeight="1">
      <c r="A739" s="346" t="s">
        <v>1059</v>
      </c>
      <c r="B739" s="1226" t="s">
        <v>1037</v>
      </c>
      <c r="C739" s="1226"/>
      <c r="D739" s="1226"/>
      <c r="E739" s="1226"/>
      <c r="F739" s="1226"/>
      <c r="G739" s="1226"/>
      <c r="H739" s="1226"/>
      <c r="I739" s="1226"/>
      <c r="J739" s="1226"/>
      <c r="K739" s="1226"/>
      <c r="L739" s="346"/>
      <c r="M739" s="346"/>
      <c r="N739" s="346"/>
      <c r="O739" s="27"/>
      <c r="P739" s="27"/>
      <c r="Q739" s="620"/>
      <c r="R739" s="27"/>
      <c r="S739" s="27"/>
      <c r="T739" s="27"/>
    </row>
    <row r="740" spans="1:20" ht="54.95" hidden="1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</row>
    <row r="741" spans="1:20" s="500" customFormat="1" ht="90" hidden="1">
      <c r="A741" s="496" t="s">
        <v>14</v>
      </c>
      <c r="B741" s="497" t="s">
        <v>14</v>
      </c>
      <c r="C741" s="497" t="s">
        <v>37</v>
      </c>
      <c r="D741" s="497" t="s">
        <v>440</v>
      </c>
      <c r="E741" s="497" t="s">
        <v>16</v>
      </c>
      <c r="F741" s="497" t="s">
        <v>185</v>
      </c>
      <c r="G741" s="497" t="s">
        <v>178</v>
      </c>
      <c r="H741" s="497" t="s">
        <v>179</v>
      </c>
      <c r="I741" s="497" t="s">
        <v>180</v>
      </c>
      <c r="J741" s="497" t="s">
        <v>181</v>
      </c>
      <c r="K741" s="497" t="s">
        <v>200</v>
      </c>
      <c r="L741" s="496" t="s">
        <v>180</v>
      </c>
      <c r="M741" s="496" t="s">
        <v>181</v>
      </c>
      <c r="N741" s="496" t="s">
        <v>200</v>
      </c>
      <c r="O741" s="498"/>
      <c r="P741" s="498"/>
      <c r="Q741" s="622"/>
      <c r="R741" s="498"/>
      <c r="S741" s="498"/>
      <c r="T741" s="499"/>
    </row>
    <row r="742" spans="1:20" s="510" customFormat="1" ht="72" hidden="1" customHeight="1">
      <c r="A742" s="501"/>
      <c r="B742" s="502"/>
      <c r="C742" s="503" t="s">
        <v>273</v>
      </c>
      <c r="D742" s="504"/>
      <c r="E742" s="505"/>
      <c r="F742" s="504"/>
      <c r="G742" s="504"/>
      <c r="H742" s="504"/>
      <c r="I742" s="506">
        <f>SUM(I743:I749)</f>
        <v>72000</v>
      </c>
      <c r="J742" s="506"/>
      <c r="K742" s="506">
        <f>SUM(K743:K749)</f>
        <v>72000</v>
      </c>
      <c r="L742" s="507">
        <f>SUM(L743:L749)</f>
        <v>72000</v>
      </c>
      <c r="M742" s="507"/>
      <c r="N742" s="507">
        <f>SUM(N743:N749)</f>
        <v>72000</v>
      </c>
      <c r="O742" s="508"/>
      <c r="P742" s="508"/>
      <c r="Q742" s="623"/>
      <c r="R742" s="508"/>
      <c r="S742" s="508"/>
      <c r="T742" s="509"/>
    </row>
    <row r="743" spans="1:20" ht="60.75" hidden="1" customHeight="1">
      <c r="A743" s="273" t="s">
        <v>586</v>
      </c>
      <c r="B743" s="481" t="s">
        <v>1006</v>
      </c>
      <c r="C743" s="482" t="s">
        <v>398</v>
      </c>
      <c r="D743" s="483">
        <v>8100</v>
      </c>
      <c r="E743" s="484">
        <v>108288</v>
      </c>
      <c r="F743" s="525" t="s">
        <v>338</v>
      </c>
      <c r="G743" s="488" t="s">
        <v>148</v>
      </c>
      <c r="H743" s="489">
        <v>10</v>
      </c>
      <c r="I743" s="473">
        <f t="shared" ref="I743:I749" si="161">INT(L743*$Q$139)</f>
        <v>6000</v>
      </c>
      <c r="J743" s="473">
        <f t="shared" ref="J743:J749" si="162">INT(M743*$R$139)</f>
        <v>0</v>
      </c>
      <c r="K743" s="473">
        <f t="shared" ref="K743:K749" si="163">SUM(I743:J743)</f>
        <v>6000</v>
      </c>
      <c r="L743" s="167">
        <v>6000</v>
      </c>
      <c r="M743" s="167"/>
      <c r="N743" s="167">
        <f t="shared" ref="N743:N749" si="164">SUM(L743,M743)</f>
        <v>6000</v>
      </c>
      <c r="O743" s="405"/>
      <c r="P743" s="405"/>
    </row>
    <row r="744" spans="1:20" ht="63.75" hidden="1" customHeight="1">
      <c r="A744" s="273" t="s">
        <v>587</v>
      </c>
      <c r="B744" s="481" t="s">
        <v>1007</v>
      </c>
      <c r="C744" s="490" t="s">
        <v>399</v>
      </c>
      <c r="D744" s="483">
        <v>8100</v>
      </c>
      <c r="E744" s="484">
        <v>108288</v>
      </c>
      <c r="F744" s="525" t="s">
        <v>338</v>
      </c>
      <c r="G744" s="488" t="s">
        <v>331</v>
      </c>
      <c r="H744" s="489">
        <v>1</v>
      </c>
      <c r="I744" s="473">
        <f t="shared" si="161"/>
        <v>8000</v>
      </c>
      <c r="J744" s="473">
        <f t="shared" si="162"/>
        <v>0</v>
      </c>
      <c r="K744" s="473">
        <f t="shared" si="163"/>
        <v>8000</v>
      </c>
      <c r="L744" s="167">
        <v>8000</v>
      </c>
      <c r="M744" s="167"/>
      <c r="N744" s="167">
        <f t="shared" si="164"/>
        <v>8000</v>
      </c>
      <c r="O744" s="405"/>
      <c r="P744" s="405"/>
    </row>
    <row r="745" spans="1:20" ht="60.75" hidden="1" customHeight="1">
      <c r="A745" s="273" t="s">
        <v>588</v>
      </c>
      <c r="B745" s="481" t="s">
        <v>1008</v>
      </c>
      <c r="C745" s="490" t="s">
        <v>400</v>
      </c>
      <c r="D745" s="483">
        <v>8100</v>
      </c>
      <c r="E745" s="484">
        <v>108288</v>
      </c>
      <c r="F745" s="525" t="s">
        <v>338</v>
      </c>
      <c r="G745" s="488" t="s">
        <v>203</v>
      </c>
      <c r="H745" s="489">
        <v>10</v>
      </c>
      <c r="I745" s="473">
        <f t="shared" si="161"/>
        <v>15000</v>
      </c>
      <c r="J745" s="473">
        <f t="shared" si="162"/>
        <v>0</v>
      </c>
      <c r="K745" s="473">
        <f t="shared" si="163"/>
        <v>15000</v>
      </c>
      <c r="L745" s="167">
        <v>15000</v>
      </c>
      <c r="M745" s="167"/>
      <c r="N745" s="167">
        <f t="shared" si="164"/>
        <v>15000</v>
      </c>
      <c r="O745" s="405"/>
      <c r="P745" s="405"/>
    </row>
    <row r="746" spans="1:20" ht="54.75" hidden="1" customHeight="1">
      <c r="A746" s="273" t="s">
        <v>589</v>
      </c>
      <c r="B746" s="481" t="s">
        <v>1009</v>
      </c>
      <c r="C746" s="490" t="s">
        <v>401</v>
      </c>
      <c r="D746" s="483">
        <v>8100</v>
      </c>
      <c r="E746" s="484">
        <v>108288</v>
      </c>
      <c r="F746" s="525" t="s">
        <v>338</v>
      </c>
      <c r="G746" s="488" t="s">
        <v>331</v>
      </c>
      <c r="H746" s="489">
        <v>1</v>
      </c>
      <c r="I746" s="473">
        <f t="shared" si="161"/>
        <v>8000</v>
      </c>
      <c r="J746" s="473">
        <f t="shared" si="162"/>
        <v>0</v>
      </c>
      <c r="K746" s="473">
        <f t="shared" si="163"/>
        <v>8000</v>
      </c>
      <c r="L746" s="167">
        <v>8000</v>
      </c>
      <c r="M746" s="167"/>
      <c r="N746" s="167">
        <f t="shared" si="164"/>
        <v>8000</v>
      </c>
      <c r="O746" s="405"/>
      <c r="P746" s="405"/>
    </row>
    <row r="747" spans="1:20" ht="57.75" hidden="1" customHeight="1">
      <c r="A747" s="273" t="s">
        <v>590</v>
      </c>
      <c r="B747" s="481" t="s">
        <v>1010</v>
      </c>
      <c r="C747" s="482" t="s">
        <v>446</v>
      </c>
      <c r="D747" s="483">
        <v>8100</v>
      </c>
      <c r="E747" s="484">
        <v>108288</v>
      </c>
      <c r="F747" s="525" t="s">
        <v>338</v>
      </c>
      <c r="G747" s="488" t="s">
        <v>225</v>
      </c>
      <c r="H747" s="489">
        <v>1</v>
      </c>
      <c r="I747" s="473">
        <f t="shared" si="161"/>
        <v>8000</v>
      </c>
      <c r="J747" s="473">
        <f t="shared" si="162"/>
        <v>0</v>
      </c>
      <c r="K747" s="473">
        <f t="shared" si="163"/>
        <v>8000</v>
      </c>
      <c r="L747" s="167">
        <v>8000</v>
      </c>
      <c r="M747" s="167"/>
      <c r="N747" s="167">
        <f t="shared" si="164"/>
        <v>8000</v>
      </c>
      <c r="O747" s="405"/>
      <c r="P747" s="405"/>
    </row>
    <row r="748" spans="1:20" ht="59.25" hidden="1" customHeight="1">
      <c r="A748" s="273" t="s">
        <v>859</v>
      </c>
      <c r="B748" s="481" t="s">
        <v>1160</v>
      </c>
      <c r="C748" s="482" t="s">
        <v>811</v>
      </c>
      <c r="D748" s="483">
        <v>8100</v>
      </c>
      <c r="E748" s="484">
        <v>108288</v>
      </c>
      <c r="F748" s="525" t="s">
        <v>338</v>
      </c>
      <c r="G748" s="488" t="s">
        <v>79</v>
      </c>
      <c r="H748" s="489">
        <v>1</v>
      </c>
      <c r="I748" s="473">
        <f t="shared" si="161"/>
        <v>20000</v>
      </c>
      <c r="J748" s="473">
        <f t="shared" si="162"/>
        <v>0</v>
      </c>
      <c r="K748" s="473">
        <f t="shared" si="163"/>
        <v>20000</v>
      </c>
      <c r="L748" s="167">
        <v>20000</v>
      </c>
      <c r="M748" s="167"/>
      <c r="N748" s="167">
        <f t="shared" si="164"/>
        <v>20000</v>
      </c>
      <c r="O748" s="405"/>
      <c r="P748" s="405"/>
    </row>
    <row r="749" spans="1:20" ht="57.75" hidden="1" customHeight="1">
      <c r="A749" s="273" t="s">
        <v>860</v>
      </c>
      <c r="B749" s="481" t="s">
        <v>1161</v>
      </c>
      <c r="C749" s="482" t="s">
        <v>812</v>
      </c>
      <c r="D749" s="483">
        <v>8100</v>
      </c>
      <c r="E749" s="484">
        <v>108288</v>
      </c>
      <c r="F749" s="525" t="s">
        <v>338</v>
      </c>
      <c r="G749" s="488" t="s">
        <v>79</v>
      </c>
      <c r="H749" s="489">
        <v>2</v>
      </c>
      <c r="I749" s="473">
        <f t="shared" si="161"/>
        <v>7000</v>
      </c>
      <c r="J749" s="473">
        <f t="shared" si="162"/>
        <v>0</v>
      </c>
      <c r="K749" s="473">
        <f t="shared" si="163"/>
        <v>7000</v>
      </c>
      <c r="L749" s="167">
        <v>7000</v>
      </c>
      <c r="M749" s="167"/>
      <c r="N749" s="167">
        <f t="shared" si="164"/>
        <v>7000</v>
      </c>
      <c r="O749" s="405"/>
      <c r="P749" s="405"/>
    </row>
    <row r="750" spans="1:20" s="510" customFormat="1" ht="72" hidden="1" customHeight="1">
      <c r="A750" s="501"/>
      <c r="B750" s="502"/>
      <c r="C750" s="503" t="s">
        <v>397</v>
      </c>
      <c r="D750" s="504"/>
      <c r="E750" s="505"/>
      <c r="F750" s="504"/>
      <c r="G750" s="504"/>
      <c r="H750" s="504"/>
      <c r="I750" s="506">
        <f>SUM(I751)</f>
        <v>18000</v>
      </c>
      <c r="J750" s="506"/>
      <c r="K750" s="506">
        <f>SUM(K751)</f>
        <v>18000</v>
      </c>
      <c r="L750" s="507">
        <f>SUM(L751)</f>
        <v>18000</v>
      </c>
      <c r="M750" s="507"/>
      <c r="N750" s="507">
        <f>SUM(N751)</f>
        <v>18000</v>
      </c>
      <c r="O750" s="508"/>
      <c r="P750" s="508"/>
      <c r="Q750" s="623"/>
      <c r="R750" s="508"/>
      <c r="S750" s="508"/>
      <c r="T750" s="509"/>
    </row>
    <row r="751" spans="1:20" ht="54.75" hidden="1" customHeight="1">
      <c r="A751" s="273" t="s">
        <v>650</v>
      </c>
      <c r="B751" s="481" t="s">
        <v>1011</v>
      </c>
      <c r="C751" s="490" t="s">
        <v>402</v>
      </c>
      <c r="D751" s="483">
        <v>8100</v>
      </c>
      <c r="E751" s="484" t="s">
        <v>686</v>
      </c>
      <c r="F751" s="525" t="s">
        <v>338</v>
      </c>
      <c r="G751" s="488" t="s">
        <v>18</v>
      </c>
      <c r="H751" s="489">
        <v>5</v>
      </c>
      <c r="I751" s="473">
        <f>INT(L751*$Q$139)</f>
        <v>18000</v>
      </c>
      <c r="J751" s="473">
        <f>INT(M751*$R$139)</f>
        <v>0</v>
      </c>
      <c r="K751" s="473">
        <f>SUM(I751:J751)</f>
        <v>18000</v>
      </c>
      <c r="L751" s="167">
        <v>18000</v>
      </c>
      <c r="M751" s="167"/>
      <c r="N751" s="167">
        <f>SUM(L751,M751)</f>
        <v>18000</v>
      </c>
      <c r="O751" s="405"/>
      <c r="P751" s="405"/>
    </row>
    <row r="752" spans="1:20" ht="64.5" hidden="1" customHeight="1">
      <c r="A752" s="133"/>
      <c r="B752" s="135"/>
      <c r="C752" s="136" t="s">
        <v>274</v>
      </c>
      <c r="D752" s="136"/>
      <c r="E752" s="136"/>
      <c r="F752" s="142"/>
      <c r="G752" s="139"/>
      <c r="H752" s="137"/>
      <c r="I752" s="395"/>
      <c r="J752" s="393">
        <f>SUM(J753)</f>
        <v>0</v>
      </c>
      <c r="K752" s="393">
        <f>SUM(K753)</f>
        <v>0</v>
      </c>
      <c r="L752" s="141"/>
      <c r="M752" s="145">
        <f>SUM(M753)</f>
        <v>10000</v>
      </c>
      <c r="N752" s="145">
        <f>SUM(N753)</f>
        <v>10000</v>
      </c>
      <c r="O752" s="27"/>
      <c r="P752" s="27"/>
      <c r="Q752" s="620"/>
      <c r="R752" s="27"/>
      <c r="S752" s="27"/>
      <c r="T752" s="27"/>
    </row>
    <row r="753" spans="1:20" ht="21" hidden="1" customHeight="1">
      <c r="A753" s="165" t="s">
        <v>432</v>
      </c>
      <c r="B753" s="252" t="s">
        <v>847</v>
      </c>
      <c r="C753" s="183" t="s">
        <v>46</v>
      </c>
      <c r="D753" s="228">
        <v>112</v>
      </c>
      <c r="E753" s="229" t="s">
        <v>795</v>
      </c>
      <c r="F753" s="34" t="s">
        <v>338</v>
      </c>
      <c r="G753" s="248" t="s">
        <v>142</v>
      </c>
      <c r="H753" s="231">
        <v>1</v>
      </c>
      <c r="I753" s="386">
        <f>INT(L753*$Q$139)</f>
        <v>0</v>
      </c>
      <c r="J753" s="386"/>
      <c r="K753" s="386">
        <f>SUM(I753:J753)</f>
        <v>0</v>
      </c>
      <c r="L753" s="186"/>
      <c r="M753" s="166">
        <v>10000</v>
      </c>
      <c r="N753" s="166">
        <f>SUM(L753,M753)</f>
        <v>10000</v>
      </c>
      <c r="O753" s="27"/>
      <c r="P753" s="27"/>
      <c r="Q753" s="620"/>
      <c r="R753" s="27"/>
      <c r="S753" s="27"/>
      <c r="T753" s="27"/>
    </row>
    <row r="754" spans="1:20" ht="50.1" hidden="1" customHeight="1">
      <c r="A754" s="23"/>
      <c r="B754" s="244"/>
      <c r="C754" s="260"/>
      <c r="D754" s="260"/>
      <c r="E754" s="260"/>
      <c r="F754" s="244"/>
      <c r="G754" s="244"/>
      <c r="H754" s="261"/>
      <c r="I754" s="396"/>
      <c r="J754" s="396"/>
      <c r="K754" s="396"/>
      <c r="L754" s="188"/>
      <c r="M754" s="189"/>
      <c r="N754" s="190"/>
      <c r="O754" s="27"/>
      <c r="P754" s="27"/>
      <c r="Q754" s="620"/>
      <c r="R754" s="27"/>
      <c r="S754" s="27"/>
      <c r="T754" s="27"/>
    </row>
    <row r="755" spans="1:20" s="472" customFormat="1" ht="45" hidden="1" customHeight="1">
      <c r="A755" s="478" t="s">
        <v>200</v>
      </c>
      <c r="B755" s="1263" t="s">
        <v>200</v>
      </c>
      <c r="C755" s="1264"/>
      <c r="D755" s="1264"/>
      <c r="E755" s="1264"/>
      <c r="F755" s="1264"/>
      <c r="G755" s="1264"/>
      <c r="H755" s="1265"/>
      <c r="I755" s="479">
        <f t="shared" ref="I755:N755" si="165">SUM(I742,I752,I750)</f>
        <v>90000</v>
      </c>
      <c r="J755" s="479">
        <f t="shared" si="165"/>
        <v>0</v>
      </c>
      <c r="K755" s="479">
        <f t="shared" si="165"/>
        <v>90000</v>
      </c>
      <c r="L755" s="480">
        <f t="shared" si="165"/>
        <v>90000</v>
      </c>
      <c r="M755" s="480">
        <f t="shared" si="165"/>
        <v>10000</v>
      </c>
      <c r="N755" s="480">
        <f t="shared" si="165"/>
        <v>100000</v>
      </c>
      <c r="O755" s="470"/>
      <c r="P755" s="470"/>
      <c r="Q755" s="622"/>
      <c r="R755" s="470"/>
      <c r="S755" s="470"/>
      <c r="T755" s="471"/>
    </row>
    <row r="756" spans="1:20" ht="81.75" hidden="1" customHeight="1">
      <c r="A756" s="23"/>
      <c r="B756" s="1287" t="s">
        <v>1283</v>
      </c>
      <c r="C756" s="1287"/>
      <c r="D756" s="1287"/>
      <c r="E756" s="1287"/>
      <c r="F756" s="1287"/>
      <c r="G756" s="1287"/>
      <c r="H756" s="1287"/>
      <c r="I756" s="1287"/>
      <c r="J756" s="1287"/>
      <c r="K756" s="1287"/>
      <c r="L756" s="102"/>
      <c r="M756" s="84"/>
      <c r="N756" s="103"/>
      <c r="O756" s="27"/>
      <c r="P756" s="27"/>
      <c r="Q756" s="620"/>
      <c r="R756" s="27"/>
      <c r="S756" s="27"/>
      <c r="T756" s="27"/>
    </row>
    <row r="757" spans="1:20" ht="50.1" hidden="1" customHeight="1">
      <c r="A757" s="23"/>
      <c r="B757" s="23"/>
      <c r="C757" s="101"/>
      <c r="D757" s="101"/>
      <c r="E757" s="101"/>
      <c r="F757" s="23"/>
      <c r="G757" s="88"/>
      <c r="H757" s="100"/>
      <c r="I757" s="100"/>
      <c r="J757" s="100"/>
      <c r="K757" s="100"/>
      <c r="L757" s="102"/>
      <c r="M757" s="84"/>
      <c r="N757" s="103"/>
      <c r="O757" s="27"/>
      <c r="P757" s="27"/>
      <c r="Q757" s="620"/>
      <c r="R757" s="27"/>
      <c r="S757" s="27"/>
      <c r="T757" s="27"/>
    </row>
    <row r="758" spans="1:20" ht="50.1" hidden="1" customHeight="1">
      <c r="A758" s="23"/>
      <c r="B758" s="23"/>
      <c r="C758" s="101"/>
      <c r="D758" s="101"/>
      <c r="E758" s="101"/>
      <c r="F758" s="23"/>
      <c r="G758" s="88"/>
      <c r="H758" s="100"/>
      <c r="I758" s="100"/>
      <c r="J758" s="100"/>
      <c r="K758" s="100"/>
      <c r="L758" s="102"/>
      <c r="M758" s="84"/>
      <c r="N758" s="103"/>
      <c r="O758" s="27"/>
      <c r="P758" s="27"/>
      <c r="Q758" s="620"/>
      <c r="R758" s="27"/>
      <c r="S758" s="27"/>
      <c r="T758" s="27"/>
    </row>
    <row r="759" spans="1:20" ht="39.950000000000003" hidden="1" customHeight="1">
      <c r="A759" s="23"/>
      <c r="B759" s="23"/>
      <c r="C759" s="101"/>
      <c r="D759" s="101"/>
      <c r="E759" s="101"/>
      <c r="F759" s="23"/>
      <c r="G759" s="88"/>
      <c r="H759" s="100"/>
      <c r="I759" s="100"/>
      <c r="J759" s="100"/>
      <c r="K759" s="100"/>
      <c r="L759" s="102"/>
      <c r="M759" s="84"/>
      <c r="N759" s="103"/>
      <c r="O759" s="27"/>
      <c r="P759" s="27"/>
      <c r="Q759" s="620"/>
      <c r="R759" s="27"/>
      <c r="S759" s="27"/>
      <c r="T759" s="27"/>
    </row>
    <row r="760" spans="1:20" ht="45" hidden="1" customHeight="1">
      <c r="A760" s="23"/>
      <c r="B760" s="23"/>
      <c r="C760" s="101"/>
      <c r="D760" s="101"/>
      <c r="E760" s="101"/>
      <c r="F760" s="23"/>
      <c r="G760" s="88"/>
      <c r="H760" s="100"/>
      <c r="I760" s="100"/>
      <c r="J760" s="100"/>
      <c r="K760" s="100"/>
      <c r="L760" s="102"/>
      <c r="M760" s="84"/>
      <c r="N760" s="103"/>
      <c r="O760" s="27"/>
      <c r="P760" s="27"/>
      <c r="Q760" s="620"/>
      <c r="R760" s="27"/>
      <c r="S760" s="27"/>
      <c r="T760" s="27"/>
    </row>
    <row r="761" spans="1:20" ht="39.950000000000003" hidden="1" customHeight="1">
      <c r="A761" s="23"/>
      <c r="B761" s="23"/>
      <c r="C761" s="101"/>
      <c r="D761" s="101"/>
      <c r="E761" s="101"/>
      <c r="F761" s="23"/>
      <c r="G761" s="88"/>
      <c r="H761" s="100"/>
      <c r="I761" s="100"/>
      <c r="J761" s="100"/>
      <c r="K761" s="100"/>
      <c r="L761" s="102"/>
      <c r="M761" s="84"/>
      <c r="N761" s="103"/>
      <c r="O761" s="27"/>
      <c r="P761" s="27"/>
      <c r="Q761" s="620"/>
      <c r="R761" s="27"/>
      <c r="S761" s="27"/>
      <c r="T761" s="27"/>
    </row>
    <row r="762" spans="1:20" ht="39.950000000000003" hidden="1" customHeight="1">
      <c r="A762" s="23"/>
      <c r="B762" s="23"/>
      <c r="C762" s="101"/>
      <c r="D762" s="101"/>
      <c r="E762" s="101"/>
      <c r="F762" s="23"/>
      <c r="G762" s="88"/>
      <c r="H762" s="100"/>
      <c r="I762" s="100"/>
      <c r="J762" s="100"/>
      <c r="K762" s="100"/>
      <c r="L762" s="102"/>
      <c r="M762" s="84"/>
      <c r="N762" s="103"/>
      <c r="O762" s="27"/>
      <c r="P762" s="27"/>
      <c r="Q762" s="620"/>
      <c r="R762" s="27"/>
      <c r="S762" s="27"/>
      <c r="T762" s="27"/>
    </row>
    <row r="763" spans="1:20" ht="39.950000000000003" hidden="1" customHeight="1">
      <c r="A763" s="23"/>
      <c r="B763" s="23"/>
      <c r="C763" s="101"/>
      <c r="D763" s="101"/>
      <c r="E763" s="101"/>
      <c r="F763" s="23"/>
      <c r="G763" s="88"/>
      <c r="H763" s="100"/>
      <c r="I763" s="100"/>
      <c r="J763" s="100"/>
      <c r="K763" s="100"/>
      <c r="L763" s="102"/>
      <c r="M763" s="84"/>
      <c r="N763" s="103"/>
      <c r="O763" s="27"/>
      <c r="P763" s="27"/>
      <c r="Q763" s="620"/>
      <c r="R763" s="27"/>
      <c r="S763" s="27"/>
      <c r="T763" s="27"/>
    </row>
    <row r="764" spans="1:20" ht="20.100000000000001" hidden="1" customHeight="1">
      <c r="A764" s="23"/>
      <c r="B764" s="23"/>
      <c r="C764" s="101"/>
      <c r="D764" s="101"/>
      <c r="E764" s="101"/>
      <c r="F764" s="23"/>
      <c r="G764" s="88"/>
      <c r="H764" s="100"/>
      <c r="I764" s="100"/>
      <c r="J764" s="100"/>
      <c r="K764" s="100"/>
      <c r="L764" s="102"/>
      <c r="M764" s="84"/>
      <c r="N764" s="103"/>
      <c r="O764" s="27"/>
      <c r="P764" s="27"/>
      <c r="Q764" s="620"/>
      <c r="R764" s="27"/>
      <c r="S764" s="27"/>
      <c r="T764" s="27"/>
    </row>
    <row r="765" spans="1:20" ht="20.100000000000001" hidden="1" customHeight="1">
      <c r="L765" s="104"/>
      <c r="O765" s="27"/>
      <c r="P765" s="27"/>
      <c r="Q765" s="620"/>
      <c r="R765" s="27"/>
      <c r="S765" s="27"/>
      <c r="T765" s="27"/>
    </row>
    <row r="766" spans="1:20" ht="17.100000000000001" hidden="1" customHeight="1">
      <c r="O766" s="27"/>
      <c r="P766" s="27"/>
      <c r="Q766" s="620"/>
      <c r="R766" s="27"/>
      <c r="S766" s="27"/>
      <c r="T766" s="27"/>
    </row>
    <row r="767" spans="1:20" ht="20.100000000000001" hidden="1" customHeight="1" thickBot="1">
      <c r="A767" s="12"/>
      <c r="B767" s="12"/>
      <c r="C767" s="262"/>
      <c r="D767" s="262"/>
      <c r="E767" s="262"/>
      <c r="F767" s="262"/>
      <c r="G767" s="1"/>
      <c r="H767" s="1"/>
      <c r="I767" s="1"/>
      <c r="J767" s="1"/>
      <c r="K767" s="1"/>
      <c r="L767" s="2"/>
      <c r="M767" s="2"/>
      <c r="N767" s="2"/>
    </row>
    <row r="768" spans="1:20" ht="32.25" hidden="1" customHeight="1">
      <c r="C768" s="1204" t="s">
        <v>51</v>
      </c>
      <c r="D768" s="1204"/>
      <c r="E768" s="1204"/>
      <c r="F768" s="1204"/>
      <c r="H768" s="1243" t="s">
        <v>11</v>
      </c>
      <c r="I768" s="1244"/>
      <c r="J768" s="1244"/>
      <c r="K768" s="1245"/>
      <c r="L768" s="337"/>
      <c r="M768" s="337"/>
      <c r="N768" s="337"/>
    </row>
    <row r="769" spans="1:20" ht="32.25" hidden="1" customHeight="1">
      <c r="C769" s="1204" t="s">
        <v>52</v>
      </c>
      <c r="D769" s="1204"/>
      <c r="E769" s="1204"/>
      <c r="F769" s="1204"/>
      <c r="H769" s="1208" t="s">
        <v>104</v>
      </c>
      <c r="I769" s="1209"/>
      <c r="J769" s="1209"/>
      <c r="K769" s="1210"/>
      <c r="L769" s="336"/>
      <c r="M769" s="336"/>
      <c r="N769" s="336"/>
    </row>
    <row r="770" spans="1:20" ht="32.25" hidden="1" customHeight="1">
      <c r="C770" s="1204" t="s">
        <v>50</v>
      </c>
      <c r="D770" s="1204"/>
      <c r="E770" s="1204"/>
      <c r="F770" s="1204"/>
      <c r="G770" s="44"/>
      <c r="H770" s="1211"/>
      <c r="I770" s="1212"/>
      <c r="J770" s="1212"/>
      <c r="K770" s="1213"/>
      <c r="L770" s="336"/>
      <c r="M770" s="336"/>
      <c r="N770" s="336"/>
    </row>
    <row r="771" spans="1:20" ht="39.75" hidden="1" customHeight="1">
      <c r="C771" s="1275"/>
      <c r="D771" s="1275"/>
      <c r="E771" s="1275"/>
      <c r="F771" s="1275"/>
      <c r="G771" s="44"/>
      <c r="H771" s="1211" t="s">
        <v>22</v>
      </c>
      <c r="I771" s="1212"/>
      <c r="J771" s="1212"/>
      <c r="K771" s="477">
        <f>SUM(K787)</f>
        <v>77577</v>
      </c>
      <c r="L771" s="336"/>
      <c r="M771" s="336"/>
      <c r="N771" s="86"/>
    </row>
    <row r="772" spans="1:20" ht="57.75" hidden="1" customHeight="1" thickBot="1">
      <c r="C772" s="606"/>
      <c r="D772" s="606"/>
      <c r="E772" s="606"/>
      <c r="F772" s="43"/>
      <c r="G772" s="44"/>
      <c r="H772" s="1283" t="s">
        <v>13</v>
      </c>
      <c r="I772" s="1284"/>
      <c r="J772" s="1284"/>
      <c r="K772" s="1285"/>
      <c r="L772" s="336"/>
      <c r="M772" s="336"/>
      <c r="N772" s="336"/>
    </row>
    <row r="773" spans="1:20" ht="17.100000000000001" hidden="1" customHeight="1">
      <c r="C773" s="606"/>
      <c r="D773" s="606"/>
      <c r="E773" s="606"/>
      <c r="F773" s="43"/>
      <c r="G773" s="44"/>
      <c r="H773" s="55"/>
      <c r="I773" s="55"/>
      <c r="J773" s="55"/>
      <c r="K773" s="55"/>
      <c r="L773" s="55"/>
      <c r="M773" s="55"/>
      <c r="N773" s="55"/>
    </row>
    <row r="774" spans="1:20" ht="17.100000000000001" hidden="1" customHeight="1">
      <c r="C774" s="606"/>
      <c r="D774" s="606"/>
      <c r="E774" s="606"/>
      <c r="F774" s="43"/>
      <c r="G774" s="44"/>
      <c r="H774" s="55"/>
      <c r="I774" s="55"/>
      <c r="J774" s="55"/>
      <c r="K774" s="55"/>
      <c r="L774" s="55"/>
      <c r="M774" s="55"/>
      <c r="N774" s="55"/>
    </row>
    <row r="775" spans="1:20" ht="20.100000000000001" hidden="1" customHeight="1">
      <c r="C775" s="606"/>
      <c r="D775" s="606"/>
      <c r="E775" s="606"/>
      <c r="F775" s="43"/>
      <c r="G775" s="44"/>
      <c r="H775" s="105"/>
      <c r="I775" s="105"/>
      <c r="J775" s="105"/>
      <c r="K775" s="105"/>
      <c r="L775" s="106"/>
      <c r="M775" s="106"/>
      <c r="N775" s="106"/>
    </row>
    <row r="776" spans="1:20" ht="20.100000000000001" hidden="1" customHeight="1">
      <c r="C776" s="606"/>
      <c r="D776" s="606"/>
      <c r="E776" s="606"/>
      <c r="F776" s="43"/>
      <c r="G776" s="44"/>
      <c r="H776" s="105"/>
      <c r="I776" s="105"/>
      <c r="J776" s="105"/>
      <c r="K776" s="105"/>
      <c r="L776" s="10"/>
      <c r="M776" s="10"/>
      <c r="N776" s="10"/>
    </row>
    <row r="777" spans="1:20" ht="20.100000000000001" hidden="1" customHeight="1">
      <c r="C777" s="606"/>
      <c r="D777" s="606"/>
      <c r="E777" s="606"/>
      <c r="F777" s="43"/>
      <c r="G777" s="44"/>
      <c r="H777" s="105"/>
      <c r="I777" s="105"/>
      <c r="J777" s="105"/>
      <c r="K777" s="105"/>
      <c r="L777" s="10"/>
      <c r="M777" s="10"/>
      <c r="N777" s="10"/>
    </row>
    <row r="778" spans="1:20" ht="24.75" hidden="1" customHeight="1">
      <c r="C778" s="1252"/>
      <c r="D778" s="1252"/>
      <c r="E778" s="1252"/>
      <c r="F778" s="1252"/>
      <c r="G778" s="44"/>
      <c r="H778" s="105"/>
      <c r="I778" s="105"/>
      <c r="J778" s="105"/>
      <c r="K778" s="105"/>
      <c r="L778" s="5"/>
      <c r="M778" s="5"/>
      <c r="N778" s="4"/>
    </row>
    <row r="779" spans="1:20" ht="44.25" hidden="1" customHeight="1">
      <c r="A779" s="346" t="s">
        <v>1059</v>
      </c>
      <c r="B779" s="1226" t="s">
        <v>1037</v>
      </c>
      <c r="C779" s="1226"/>
      <c r="D779" s="1226"/>
      <c r="E779" s="1226"/>
      <c r="F779" s="1226"/>
      <c r="G779" s="1226"/>
      <c r="H779" s="1226"/>
      <c r="I779" s="1226"/>
      <c r="J779" s="1226"/>
      <c r="K779" s="1226"/>
      <c r="L779" s="346"/>
      <c r="M779" s="346"/>
      <c r="N779" s="346"/>
      <c r="O779" s="27"/>
      <c r="P779" s="27"/>
      <c r="Q779" s="620"/>
      <c r="R779" s="27"/>
      <c r="S779" s="27"/>
      <c r="T779" s="27"/>
    </row>
    <row r="780" spans="1:20" ht="24.75" hidden="1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</row>
    <row r="781" spans="1:20" s="500" customFormat="1" ht="90" hidden="1">
      <c r="A781" s="496" t="s">
        <v>14</v>
      </c>
      <c r="B781" s="497" t="s">
        <v>14</v>
      </c>
      <c r="C781" s="497" t="s">
        <v>37</v>
      </c>
      <c r="D781" s="497" t="s">
        <v>440</v>
      </c>
      <c r="E781" s="497" t="s">
        <v>16</v>
      </c>
      <c r="F781" s="497" t="s">
        <v>185</v>
      </c>
      <c r="G781" s="497" t="s">
        <v>178</v>
      </c>
      <c r="H781" s="497" t="s">
        <v>179</v>
      </c>
      <c r="I781" s="497" t="s">
        <v>180</v>
      </c>
      <c r="J781" s="497" t="s">
        <v>181</v>
      </c>
      <c r="K781" s="497" t="s">
        <v>200</v>
      </c>
      <c r="L781" s="496" t="s">
        <v>180</v>
      </c>
      <c r="M781" s="496" t="s">
        <v>181</v>
      </c>
      <c r="N781" s="496" t="s">
        <v>200</v>
      </c>
      <c r="O781" s="498"/>
      <c r="P781" s="498"/>
      <c r="Q781" s="622"/>
      <c r="R781" s="498"/>
      <c r="S781" s="498"/>
      <c r="T781" s="499"/>
    </row>
    <row r="782" spans="1:20" s="510" customFormat="1" ht="72" hidden="1" customHeight="1">
      <c r="A782" s="501"/>
      <c r="B782" s="502"/>
      <c r="C782" s="503" t="s">
        <v>273</v>
      </c>
      <c r="D782" s="504"/>
      <c r="E782" s="505"/>
      <c r="F782" s="504"/>
      <c r="G782" s="504"/>
      <c r="H782" s="504"/>
      <c r="I782" s="506">
        <f>SUM(I783:I783)</f>
        <v>77577</v>
      </c>
      <c r="J782" s="506"/>
      <c r="K782" s="506">
        <f>SUM(K783:K783)</f>
        <v>77577</v>
      </c>
      <c r="L782" s="507">
        <f>SUM(L783:L783)</f>
        <v>77577</v>
      </c>
      <c r="M782" s="507"/>
      <c r="N782" s="507">
        <f>SUM(N783:N783)</f>
        <v>77577</v>
      </c>
      <c r="O782" s="508"/>
      <c r="P782" s="508"/>
      <c r="Q782" s="623"/>
      <c r="R782" s="508"/>
      <c r="S782" s="508"/>
      <c r="T782" s="509"/>
    </row>
    <row r="783" spans="1:20" ht="54.75" hidden="1" customHeight="1">
      <c r="A783" s="273" t="s">
        <v>591</v>
      </c>
      <c r="B783" s="481" t="s">
        <v>1012</v>
      </c>
      <c r="C783" s="490" t="s">
        <v>306</v>
      </c>
      <c r="D783" s="483">
        <v>8100</v>
      </c>
      <c r="E783" s="484">
        <v>108288</v>
      </c>
      <c r="F783" s="525" t="s">
        <v>26</v>
      </c>
      <c r="G783" s="488" t="s">
        <v>77</v>
      </c>
      <c r="H783" s="489">
        <v>323</v>
      </c>
      <c r="I783" s="473">
        <f>INT(L783*$Q$139)</f>
        <v>77577</v>
      </c>
      <c r="J783" s="473">
        <f>INT(M783*$R$139)</f>
        <v>0</v>
      </c>
      <c r="K783" s="473">
        <f>SUM(I783:J783)</f>
        <v>77577</v>
      </c>
      <c r="L783" s="167">
        <v>77577</v>
      </c>
      <c r="M783" s="167"/>
      <c r="N783" s="167">
        <f>SUM(L783,M783)</f>
        <v>77577</v>
      </c>
      <c r="O783" s="405"/>
      <c r="P783" s="405"/>
    </row>
    <row r="784" spans="1:20" ht="43.5" hidden="1" customHeight="1">
      <c r="A784" s="24"/>
      <c r="B784" s="138"/>
      <c r="C784" s="136" t="s">
        <v>274</v>
      </c>
      <c r="D784" s="136"/>
      <c r="E784" s="136"/>
      <c r="F784" s="137"/>
      <c r="G784" s="139"/>
      <c r="H784" s="137"/>
      <c r="I784" s="395"/>
      <c r="J784" s="393">
        <f>SUM(J785:J785)</f>
        <v>0</v>
      </c>
      <c r="K784" s="393">
        <f>SUM(K785:K785)</f>
        <v>0</v>
      </c>
      <c r="L784" s="141"/>
      <c r="M784" s="145">
        <f>SUM(M785:M785)</f>
        <v>1400000</v>
      </c>
      <c r="N784" s="145">
        <f>SUM(N785:N785)</f>
        <v>1400000</v>
      </c>
      <c r="O784" s="27"/>
      <c r="P784" s="27"/>
      <c r="Q784" s="620"/>
      <c r="R784" s="27"/>
      <c r="S784" s="27"/>
      <c r="T784" s="27"/>
    </row>
    <row r="785" spans="1:20" ht="45.75" hidden="1" customHeight="1">
      <c r="A785" s="92" t="s">
        <v>438</v>
      </c>
      <c r="B785" s="273" t="s">
        <v>839</v>
      </c>
      <c r="C785" s="263" t="s">
        <v>826</v>
      </c>
      <c r="D785" s="228">
        <v>112</v>
      </c>
      <c r="E785" s="229" t="s">
        <v>795</v>
      </c>
      <c r="F785" s="230" t="s">
        <v>26</v>
      </c>
      <c r="G785" s="263" t="s">
        <v>77</v>
      </c>
      <c r="H785" s="264">
        <v>15000</v>
      </c>
      <c r="I785" s="386">
        <f>INT(L785*$Q$139)</f>
        <v>0</v>
      </c>
      <c r="J785" s="386"/>
      <c r="K785" s="386">
        <f>SUM(I785:J785)</f>
        <v>0</v>
      </c>
      <c r="L785" s="191"/>
      <c r="M785" s="172">
        <v>1400000</v>
      </c>
      <c r="N785" s="172">
        <f>SUM(M785)</f>
        <v>1400000</v>
      </c>
      <c r="O785" s="27"/>
      <c r="P785" s="27"/>
      <c r="Q785" s="620"/>
      <c r="R785" s="27"/>
      <c r="S785" s="27"/>
      <c r="T785" s="27"/>
    </row>
    <row r="786" spans="1:20" ht="50.1" hidden="1" customHeight="1">
      <c r="B786" s="17"/>
      <c r="C786" s="17"/>
      <c r="D786" s="17"/>
      <c r="E786" s="17"/>
      <c r="F786" s="204"/>
      <c r="G786" s="204"/>
      <c r="H786" s="204"/>
      <c r="I786" s="389"/>
      <c r="J786" s="389"/>
      <c r="K786" s="389"/>
      <c r="L786" s="192"/>
      <c r="M786" s="192"/>
      <c r="N786" s="192"/>
      <c r="O786" s="27"/>
      <c r="P786" s="27"/>
      <c r="Q786" s="620"/>
      <c r="R786" s="27"/>
      <c r="S786" s="27"/>
      <c r="T786" s="27"/>
    </row>
    <row r="787" spans="1:20" s="472" customFormat="1" ht="45" hidden="1" customHeight="1">
      <c r="A787" s="478" t="s">
        <v>200</v>
      </c>
      <c r="B787" s="1263" t="s">
        <v>200</v>
      </c>
      <c r="C787" s="1264"/>
      <c r="D787" s="1264"/>
      <c r="E787" s="1264"/>
      <c r="F787" s="1264"/>
      <c r="G787" s="1264"/>
      <c r="H787" s="1265"/>
      <c r="I787" s="479">
        <f t="shared" ref="I787:N787" si="166">SUM(I782,I784)</f>
        <v>77577</v>
      </c>
      <c r="J787" s="479">
        <f t="shared" si="166"/>
        <v>0</v>
      </c>
      <c r="K787" s="479">
        <f t="shared" si="166"/>
        <v>77577</v>
      </c>
      <c r="L787" s="480">
        <f t="shared" si="166"/>
        <v>77577</v>
      </c>
      <c r="M787" s="480">
        <f t="shared" si="166"/>
        <v>1400000</v>
      </c>
      <c r="N787" s="480">
        <f t="shared" si="166"/>
        <v>1477577</v>
      </c>
      <c r="O787" s="470"/>
      <c r="P787" s="470"/>
      <c r="Q787" s="622"/>
      <c r="R787" s="470"/>
      <c r="S787" s="470"/>
      <c r="T787" s="471"/>
    </row>
    <row r="788" spans="1:20" ht="58.5" hidden="1" customHeight="1">
      <c r="B788" s="1287" t="s">
        <v>1283</v>
      </c>
      <c r="C788" s="1287"/>
      <c r="D788" s="1287"/>
      <c r="E788" s="1287"/>
      <c r="F788" s="1287"/>
      <c r="G788" s="1287"/>
      <c r="H788" s="1287"/>
      <c r="I788" s="1287"/>
      <c r="J788" s="1287"/>
      <c r="K788" s="1287"/>
      <c r="O788" s="27"/>
      <c r="P788" s="27"/>
      <c r="Q788" s="620"/>
      <c r="R788" s="27"/>
      <c r="S788" s="27"/>
      <c r="T788" s="27"/>
    </row>
    <row r="789" spans="1:20" ht="50.1" hidden="1" customHeight="1">
      <c r="O789" s="27"/>
      <c r="P789" s="27"/>
      <c r="Q789" s="620"/>
      <c r="R789" s="27"/>
      <c r="S789" s="27"/>
      <c r="T789" s="27"/>
    </row>
    <row r="790" spans="1:20" ht="17.100000000000001" hidden="1" customHeight="1">
      <c r="A790" s="1295"/>
      <c r="B790" s="1295"/>
      <c r="C790" s="1295"/>
      <c r="D790" s="1295"/>
      <c r="E790" s="1295"/>
      <c r="F790" s="1295"/>
      <c r="G790" s="1295"/>
      <c r="H790" s="1295"/>
      <c r="I790" s="1295"/>
      <c r="J790" s="1295"/>
      <c r="K790" s="1295"/>
      <c r="L790" s="1295"/>
      <c r="M790" s="1295"/>
      <c r="N790" s="1295"/>
    </row>
    <row r="791" spans="1:20" ht="17.100000000000001" hidden="1" customHeight="1"/>
    <row r="792" spans="1:20" ht="17.100000000000001" hidden="1" customHeight="1"/>
    <row r="793" spans="1:20" ht="17.100000000000001" hidden="1" customHeight="1"/>
    <row r="794" spans="1:20" ht="17.100000000000001" hidden="1" customHeight="1"/>
    <row r="795" spans="1:20" ht="17.100000000000001" hidden="1" customHeight="1"/>
    <row r="796" spans="1:20" ht="24.95" hidden="1" customHeight="1" thickBot="1">
      <c r="C796" s="609"/>
      <c r="D796" s="609"/>
      <c r="E796" s="609"/>
      <c r="L796" s="1291"/>
      <c r="M796" s="1291"/>
      <c r="N796" s="1291"/>
    </row>
    <row r="797" spans="1:20" ht="36" hidden="1" customHeight="1">
      <c r="C797" s="1204" t="s">
        <v>51</v>
      </c>
      <c r="D797" s="1204"/>
      <c r="E797" s="1204"/>
      <c r="F797" s="1204"/>
      <c r="H797" s="1243" t="s">
        <v>11</v>
      </c>
      <c r="I797" s="1244"/>
      <c r="J797" s="1244"/>
      <c r="K797" s="1245"/>
      <c r="L797" s="337"/>
      <c r="M797" s="337"/>
      <c r="N797" s="337"/>
    </row>
    <row r="798" spans="1:20" ht="36" hidden="1" customHeight="1">
      <c r="C798" s="1204" t="s">
        <v>52</v>
      </c>
      <c r="D798" s="1204"/>
      <c r="E798" s="1204"/>
      <c r="F798" s="1204"/>
      <c r="G798" s="10"/>
      <c r="H798" s="1208" t="s">
        <v>105</v>
      </c>
      <c r="I798" s="1209"/>
      <c r="J798" s="1209"/>
      <c r="K798" s="1210"/>
      <c r="L798" s="336"/>
      <c r="M798" s="336"/>
      <c r="N798" s="336"/>
    </row>
    <row r="799" spans="1:20" ht="36" hidden="1" customHeight="1">
      <c r="C799" s="1204" t="s">
        <v>50</v>
      </c>
      <c r="D799" s="1204"/>
      <c r="E799" s="1204"/>
      <c r="F799" s="1204"/>
      <c r="G799" s="44"/>
      <c r="H799" s="1211"/>
      <c r="I799" s="1212"/>
      <c r="J799" s="1212"/>
      <c r="K799" s="1213"/>
      <c r="L799" s="336"/>
      <c r="M799" s="336"/>
      <c r="N799" s="336"/>
    </row>
    <row r="800" spans="1:20" ht="39.950000000000003" hidden="1" customHeight="1">
      <c r="A800" s="75"/>
      <c r="B800" s="75"/>
      <c r="C800" s="65"/>
      <c r="D800" s="65"/>
      <c r="E800" s="65"/>
      <c r="F800" s="10"/>
      <c r="G800" s="10"/>
      <c r="H800" s="1211" t="s">
        <v>22</v>
      </c>
      <c r="I800" s="1212"/>
      <c r="J800" s="1212"/>
      <c r="K800" s="477">
        <f>K830</f>
        <v>2343765</v>
      </c>
      <c r="L800" s="336"/>
      <c r="M800" s="336"/>
      <c r="N800" s="86"/>
    </row>
    <row r="801" spans="1:20" ht="45" hidden="1" customHeight="1" thickBot="1">
      <c r="A801" s="75"/>
      <c r="B801" s="75"/>
      <c r="C801" s="65"/>
      <c r="D801" s="65"/>
      <c r="E801" s="65"/>
      <c r="F801" s="10"/>
      <c r="G801" s="10"/>
      <c r="H801" s="1283" t="s">
        <v>13</v>
      </c>
      <c r="I801" s="1284"/>
      <c r="J801" s="1284"/>
      <c r="K801" s="1285"/>
      <c r="L801" s="336"/>
      <c r="M801" s="336"/>
      <c r="N801" s="336"/>
    </row>
    <row r="802" spans="1:20" ht="17.100000000000001" hidden="1" customHeight="1">
      <c r="A802" s="75"/>
      <c r="B802" s="75"/>
      <c r="C802" s="65"/>
      <c r="D802" s="65"/>
      <c r="E802" s="65"/>
      <c r="F802" s="10"/>
      <c r="G802" s="10"/>
      <c r="H802" s="39"/>
      <c r="I802" s="39"/>
      <c r="J802" s="39"/>
      <c r="K802" s="39"/>
      <c r="L802" s="39"/>
      <c r="M802" s="39"/>
      <c r="N802" s="39"/>
    </row>
    <row r="803" spans="1:20" ht="17.100000000000001" hidden="1" customHeight="1">
      <c r="A803" s="75"/>
      <c r="B803" s="75"/>
      <c r="C803" s="65"/>
      <c r="D803" s="65"/>
      <c r="E803" s="65"/>
      <c r="F803" s="10"/>
      <c r="G803" s="10"/>
      <c r="H803" s="10"/>
      <c r="I803" s="10"/>
      <c r="J803" s="10"/>
      <c r="K803" s="10"/>
      <c r="L803" s="10"/>
      <c r="M803" s="10"/>
      <c r="N803" s="10"/>
    </row>
    <row r="804" spans="1:20" ht="20.100000000000001" hidden="1" customHeight="1">
      <c r="A804" s="75"/>
      <c r="B804" s="75"/>
      <c r="C804" s="65"/>
      <c r="D804" s="65"/>
      <c r="E804" s="65"/>
      <c r="F804" s="10"/>
      <c r="G804" s="10"/>
      <c r="H804" s="10"/>
      <c r="I804" s="10"/>
      <c r="J804" s="10"/>
      <c r="K804" s="10"/>
      <c r="L804" s="10"/>
      <c r="M804" s="10"/>
      <c r="N804" s="10"/>
    </row>
    <row r="805" spans="1:20" ht="20.100000000000001" hidden="1" customHeight="1">
      <c r="A805" s="75"/>
      <c r="B805" s="75"/>
      <c r="C805" s="65"/>
      <c r="D805" s="65"/>
      <c r="E805" s="65"/>
      <c r="F805" s="10"/>
      <c r="G805" s="10"/>
      <c r="H805" s="10"/>
      <c r="I805" s="10"/>
      <c r="J805" s="10"/>
      <c r="K805" s="10"/>
      <c r="L805" s="10"/>
      <c r="M805" s="10"/>
      <c r="N805" s="10"/>
    </row>
    <row r="806" spans="1:20" ht="30" hidden="1" customHeight="1">
      <c r="A806" s="75"/>
      <c r="B806" s="75"/>
      <c r="C806" s="65"/>
      <c r="D806" s="65"/>
      <c r="E806" s="65"/>
      <c r="F806" s="10"/>
      <c r="G806" s="10"/>
      <c r="H806" s="10"/>
      <c r="I806" s="10"/>
      <c r="J806" s="10"/>
      <c r="K806" s="10"/>
      <c r="L806" s="10"/>
      <c r="M806" s="10"/>
      <c r="N806" s="10"/>
    </row>
    <row r="807" spans="1:20" ht="44.25" hidden="1" customHeight="1">
      <c r="A807" s="346" t="s">
        <v>1059</v>
      </c>
      <c r="B807" s="1226" t="s">
        <v>1037</v>
      </c>
      <c r="C807" s="1226"/>
      <c r="D807" s="1226"/>
      <c r="E807" s="1226"/>
      <c r="F807" s="1226"/>
      <c r="G807" s="1226"/>
      <c r="H807" s="1226"/>
      <c r="I807" s="1226"/>
      <c r="J807" s="1226"/>
      <c r="K807" s="1226"/>
      <c r="L807" s="346"/>
      <c r="M807" s="346"/>
      <c r="N807" s="346"/>
      <c r="O807" s="27"/>
      <c r="P807" s="27"/>
      <c r="Q807" s="620"/>
      <c r="R807" s="27"/>
      <c r="S807" s="27"/>
      <c r="T807" s="27"/>
    </row>
    <row r="808" spans="1:20" ht="54.95" hidden="1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</row>
    <row r="809" spans="1:20" s="500" customFormat="1" ht="90" hidden="1">
      <c r="A809" s="496" t="s">
        <v>14</v>
      </c>
      <c r="B809" s="497" t="s">
        <v>14</v>
      </c>
      <c r="C809" s="497" t="s">
        <v>37</v>
      </c>
      <c r="D809" s="497" t="s">
        <v>440</v>
      </c>
      <c r="E809" s="497" t="s">
        <v>16</v>
      </c>
      <c r="F809" s="497" t="s">
        <v>185</v>
      </c>
      <c r="G809" s="497" t="s">
        <v>178</v>
      </c>
      <c r="H809" s="497" t="s">
        <v>179</v>
      </c>
      <c r="I809" s="497" t="s">
        <v>180</v>
      </c>
      <c r="J809" s="497" t="s">
        <v>181</v>
      </c>
      <c r="K809" s="497" t="s">
        <v>200</v>
      </c>
      <c r="L809" s="496" t="s">
        <v>180</v>
      </c>
      <c r="M809" s="496" t="s">
        <v>181</v>
      </c>
      <c r="N809" s="496" t="s">
        <v>200</v>
      </c>
      <c r="O809" s="498"/>
      <c r="P809" s="498"/>
      <c r="Q809" s="622"/>
      <c r="R809" s="498"/>
      <c r="S809" s="498"/>
      <c r="T809" s="499"/>
    </row>
    <row r="810" spans="1:20" s="510" customFormat="1" ht="72" hidden="1" customHeight="1">
      <c r="A810" s="501"/>
      <c r="B810" s="502"/>
      <c r="C810" s="503" t="s">
        <v>273</v>
      </c>
      <c r="D810" s="504"/>
      <c r="E810" s="505"/>
      <c r="F810" s="504"/>
      <c r="G810" s="504"/>
      <c r="H810" s="504"/>
      <c r="I810" s="506">
        <f t="shared" ref="I810:N810" si="167">SUM(I811:I814)</f>
        <v>184294</v>
      </c>
      <c r="J810" s="506">
        <f t="shared" si="167"/>
        <v>0</v>
      </c>
      <c r="K810" s="506">
        <f t="shared" si="167"/>
        <v>184294</v>
      </c>
      <c r="L810" s="507">
        <f t="shared" si="167"/>
        <v>184294</v>
      </c>
      <c r="M810" s="507">
        <f t="shared" si="167"/>
        <v>0</v>
      </c>
      <c r="N810" s="507">
        <f t="shared" si="167"/>
        <v>184294</v>
      </c>
      <c r="O810" s="508"/>
      <c r="P810" s="508"/>
      <c r="Q810" s="623"/>
      <c r="R810" s="508"/>
      <c r="S810" s="508"/>
      <c r="T810" s="509"/>
    </row>
    <row r="811" spans="1:20" ht="54.75" hidden="1" customHeight="1">
      <c r="A811" s="273" t="s">
        <v>592</v>
      </c>
      <c r="B811" s="481" t="s">
        <v>1164</v>
      </c>
      <c r="C811" s="490" t="s">
        <v>883</v>
      </c>
      <c r="D811" s="483">
        <v>8100</v>
      </c>
      <c r="E811" s="484">
        <v>108288</v>
      </c>
      <c r="F811" s="525" t="s">
        <v>80</v>
      </c>
      <c r="G811" s="488" t="s">
        <v>203</v>
      </c>
      <c r="H811" s="489">
        <v>450</v>
      </c>
      <c r="I811" s="473">
        <f>INT(L811*$Q$139)</f>
        <v>1000</v>
      </c>
      <c r="J811" s="473">
        <f>INT(M811*$R$139)</f>
        <v>0</v>
      </c>
      <c r="K811" s="473">
        <f>SUM(I811:J811)</f>
        <v>1000</v>
      </c>
      <c r="L811" s="167">
        <v>1000</v>
      </c>
      <c r="M811" s="167"/>
      <c r="N811" s="167">
        <f>SUM(L811,M811)</f>
        <v>1000</v>
      </c>
      <c r="O811" s="405"/>
      <c r="P811" s="405"/>
    </row>
    <row r="812" spans="1:20" ht="54.75" hidden="1" customHeight="1">
      <c r="A812" s="273" t="s">
        <v>593</v>
      </c>
      <c r="B812" s="481" t="s">
        <v>1013</v>
      </c>
      <c r="C812" s="490" t="s">
        <v>451</v>
      </c>
      <c r="D812" s="483">
        <v>8100</v>
      </c>
      <c r="E812" s="484">
        <v>108288</v>
      </c>
      <c r="F812" s="525" t="s">
        <v>80</v>
      </c>
      <c r="G812" s="488" t="s">
        <v>148</v>
      </c>
      <c r="H812" s="489">
        <v>150</v>
      </c>
      <c r="I812" s="473">
        <f>INT(L812*$Q$139)</f>
        <v>3000</v>
      </c>
      <c r="J812" s="473">
        <f>INT(M812*$R$139)</f>
        <v>0</v>
      </c>
      <c r="K812" s="473">
        <f>SUM(I812:J812)</f>
        <v>3000</v>
      </c>
      <c r="L812" s="167">
        <v>3000</v>
      </c>
      <c r="M812" s="167"/>
      <c r="N812" s="167">
        <f>SUM(L812,M812)</f>
        <v>3000</v>
      </c>
      <c r="O812" s="405"/>
      <c r="P812" s="405"/>
    </row>
    <row r="813" spans="1:20" ht="54.75" hidden="1" customHeight="1">
      <c r="A813" s="273" t="s">
        <v>666</v>
      </c>
      <c r="B813" s="481" t="s">
        <v>1014</v>
      </c>
      <c r="C813" s="490" t="s">
        <v>406</v>
      </c>
      <c r="D813" s="483">
        <v>8100</v>
      </c>
      <c r="E813" s="484">
        <v>108288</v>
      </c>
      <c r="F813" s="525" t="s">
        <v>80</v>
      </c>
      <c r="G813" s="488" t="s">
        <v>245</v>
      </c>
      <c r="H813" s="489" t="s">
        <v>452</v>
      </c>
      <c r="I813" s="473">
        <f>INT(L813*$Q$139)</f>
        <v>56000</v>
      </c>
      <c r="J813" s="473">
        <f>INT(M813*$R$139)</f>
        <v>0</v>
      </c>
      <c r="K813" s="473">
        <f>SUM(I813:J813)</f>
        <v>56000</v>
      </c>
      <c r="L813" s="167">
        <v>56000</v>
      </c>
      <c r="M813" s="167"/>
      <c r="N813" s="167">
        <f>SUM(L813,M813)</f>
        <v>56000</v>
      </c>
      <c r="O813" s="405"/>
      <c r="P813" s="405"/>
    </row>
    <row r="814" spans="1:20" ht="54.75" hidden="1" customHeight="1">
      <c r="A814" s="273" t="s">
        <v>560</v>
      </c>
      <c r="B814" s="481" t="s">
        <v>1165</v>
      </c>
      <c r="C814" s="490" t="s">
        <v>1015</v>
      </c>
      <c r="D814" s="483">
        <v>8100</v>
      </c>
      <c r="E814" s="484">
        <v>108288</v>
      </c>
      <c r="F814" s="525" t="s">
        <v>80</v>
      </c>
      <c r="G814" s="488" t="s">
        <v>215</v>
      </c>
      <c r="H814" s="489">
        <v>1</v>
      </c>
      <c r="I814" s="473">
        <f>INT(L814*$Q$139)</f>
        <v>124294</v>
      </c>
      <c r="J814" s="473">
        <f>INT(M814*$R$139)</f>
        <v>0</v>
      </c>
      <c r="K814" s="473">
        <f>SUM(I814:J814)</f>
        <v>124294</v>
      </c>
      <c r="L814" s="167">
        <v>124294</v>
      </c>
      <c r="M814" s="167"/>
      <c r="N814" s="167">
        <f>SUM(L814:M814)</f>
        <v>124294</v>
      </c>
      <c r="O814" s="405"/>
      <c r="P814" s="405"/>
    </row>
    <row r="815" spans="1:20" s="510" customFormat="1" ht="72" hidden="1" customHeight="1">
      <c r="A815" s="501"/>
      <c r="B815" s="502"/>
      <c r="C815" s="503" t="s">
        <v>697</v>
      </c>
      <c r="D815" s="504"/>
      <c r="E815" s="505"/>
      <c r="F815" s="504"/>
      <c r="G815" s="504"/>
      <c r="H815" s="504"/>
      <c r="I815" s="506">
        <f>SUM(I816)</f>
        <v>50000</v>
      </c>
      <c r="J815" s="506"/>
      <c r="K815" s="506">
        <f>SUM(K816)</f>
        <v>50000</v>
      </c>
      <c r="L815" s="507">
        <f>SUM(L816)</f>
        <v>50000</v>
      </c>
      <c r="M815" s="507"/>
      <c r="N815" s="507">
        <f>SUM(N816)</f>
        <v>50000</v>
      </c>
      <c r="O815" s="508"/>
      <c r="P815" s="508"/>
      <c r="Q815" s="623"/>
      <c r="R815" s="508"/>
      <c r="S815" s="508"/>
      <c r="T815" s="509"/>
    </row>
    <row r="816" spans="1:20" ht="54.75" hidden="1" customHeight="1">
      <c r="A816" s="273" t="s">
        <v>652</v>
      </c>
      <c r="B816" s="481" t="s">
        <v>1016</v>
      </c>
      <c r="C816" s="490" t="s">
        <v>682</v>
      </c>
      <c r="D816" s="483">
        <v>8100</v>
      </c>
      <c r="E816" s="484" t="s">
        <v>686</v>
      </c>
      <c r="F816" s="525" t="s">
        <v>80</v>
      </c>
      <c r="G816" s="488" t="s">
        <v>18</v>
      </c>
      <c r="H816" s="489">
        <v>25</v>
      </c>
      <c r="I816" s="473">
        <f>INT(L816*$Q$139)</f>
        <v>50000</v>
      </c>
      <c r="J816" s="473">
        <f>INT(M816*$R$139)</f>
        <v>0</v>
      </c>
      <c r="K816" s="473">
        <f>SUM(I816:J816)</f>
        <v>50000</v>
      </c>
      <c r="L816" s="167">
        <v>50000</v>
      </c>
      <c r="M816" s="167"/>
      <c r="N816" s="167">
        <f>SUM(L816,M816)</f>
        <v>50000</v>
      </c>
      <c r="O816" s="405"/>
      <c r="P816" s="405"/>
    </row>
    <row r="817" spans="1:20" ht="50.1" hidden="1" customHeight="1">
      <c r="A817" s="147"/>
      <c r="B817" s="137"/>
      <c r="C817" s="139" t="s">
        <v>274</v>
      </c>
      <c r="D817" s="139"/>
      <c r="E817" s="139"/>
      <c r="F817" s="138"/>
      <c r="G817" s="135"/>
      <c r="H817" s="137"/>
      <c r="I817" s="385">
        <f t="shared" ref="I817:N817" si="168">SUM(I818:I820)</f>
        <v>0</v>
      </c>
      <c r="J817" s="385">
        <f>SUM(J818:J820)</f>
        <v>0</v>
      </c>
      <c r="K817" s="385">
        <f t="shared" si="168"/>
        <v>0</v>
      </c>
      <c r="L817" s="385">
        <f t="shared" si="168"/>
        <v>0</v>
      </c>
      <c r="M817" s="385">
        <f>SUM(M818:M820)</f>
        <v>0</v>
      </c>
      <c r="N817" s="385">
        <f t="shared" si="168"/>
        <v>0</v>
      </c>
    </row>
    <row r="818" spans="1:20" ht="50.1" hidden="1" customHeight="1">
      <c r="A818" s="252" t="s">
        <v>847</v>
      </c>
      <c r="B818" s="252" t="s">
        <v>847</v>
      </c>
      <c r="C818" s="259" t="s">
        <v>680</v>
      </c>
      <c r="D818" s="228">
        <v>112</v>
      </c>
      <c r="E818" s="229" t="s">
        <v>795</v>
      </c>
      <c r="F818" s="265" t="s">
        <v>80</v>
      </c>
      <c r="G818" s="242" t="s">
        <v>155</v>
      </c>
      <c r="H818" s="230">
        <f>10+80</f>
        <v>90</v>
      </c>
      <c r="I818" s="386">
        <f>INT(L818*$Q$139)</f>
        <v>0</v>
      </c>
      <c r="J818" s="441">
        <f>INT(M818*$R$139)</f>
        <v>0</v>
      </c>
      <c r="K818" s="386">
        <f>SUM(I818:J818)</f>
        <v>0</v>
      </c>
      <c r="L818" s="186"/>
      <c r="M818" s="386"/>
      <c r="N818" s="386">
        <f>SUM(L818,M818)</f>
        <v>0</v>
      </c>
    </row>
    <row r="819" spans="1:20" ht="45" hidden="1" customHeight="1">
      <c r="A819" s="252" t="s">
        <v>856</v>
      </c>
      <c r="B819" s="252" t="s">
        <v>856</v>
      </c>
      <c r="C819" s="248" t="s">
        <v>404</v>
      </c>
      <c r="D819" s="228">
        <v>112</v>
      </c>
      <c r="E819" s="229" t="s">
        <v>795</v>
      </c>
      <c r="F819" s="249" t="s">
        <v>80</v>
      </c>
      <c r="G819" s="248" t="s">
        <v>155</v>
      </c>
      <c r="H819" s="249">
        <v>3</v>
      </c>
      <c r="I819" s="386">
        <f>INT(L819*$Q$139)</f>
        <v>0</v>
      </c>
      <c r="J819" s="441">
        <f>INT(M819*$R$139)</f>
        <v>0</v>
      </c>
      <c r="K819" s="386">
        <f>SUM(I819:J819)</f>
        <v>0</v>
      </c>
      <c r="L819" s="386"/>
      <c r="M819" s="386"/>
      <c r="N819" s="386">
        <f>SUM(L819,M819)</f>
        <v>0</v>
      </c>
      <c r="O819" s="27"/>
      <c r="P819" s="27"/>
      <c r="Q819" s="620"/>
      <c r="R819" s="27"/>
      <c r="S819" s="27"/>
      <c r="T819" s="27"/>
    </row>
    <row r="820" spans="1:20" ht="50.1" hidden="1" customHeight="1">
      <c r="A820" s="252" t="s">
        <v>857</v>
      </c>
      <c r="B820" s="252" t="s">
        <v>857</v>
      </c>
      <c r="C820" s="248" t="s">
        <v>403</v>
      </c>
      <c r="D820" s="228">
        <v>112</v>
      </c>
      <c r="E820" s="229" t="s">
        <v>795</v>
      </c>
      <c r="F820" s="249" t="s">
        <v>80</v>
      </c>
      <c r="G820" s="248" t="s">
        <v>243</v>
      </c>
      <c r="H820" s="251">
        <v>1</v>
      </c>
      <c r="I820" s="386">
        <f>INT(L820*$Q$139)</f>
        <v>0</v>
      </c>
      <c r="J820" s="441">
        <f>INT(M820*$R$139)</f>
        <v>0</v>
      </c>
      <c r="K820" s="386">
        <f>SUM(I820:J820)</f>
        <v>0</v>
      </c>
      <c r="L820" s="173"/>
      <c r="M820" s="173"/>
      <c r="N820" s="174">
        <f>SUM(L820,M820)</f>
        <v>0</v>
      </c>
      <c r="O820" s="27"/>
      <c r="P820" s="27"/>
      <c r="Q820" s="620"/>
      <c r="R820" s="27"/>
      <c r="S820" s="27"/>
      <c r="T820" s="27"/>
    </row>
    <row r="821" spans="1:20" s="510" customFormat="1" ht="72" hidden="1" customHeight="1">
      <c r="A821" s="501"/>
      <c r="B821" s="502"/>
      <c r="C821" s="503" t="s">
        <v>312</v>
      </c>
      <c r="D821" s="504"/>
      <c r="E821" s="505"/>
      <c r="F821" s="504"/>
      <c r="G821" s="504"/>
      <c r="H821" s="504"/>
      <c r="I821" s="506">
        <f>L821</f>
        <v>849471</v>
      </c>
      <c r="J821" s="506">
        <f>SUM(J822:J825)</f>
        <v>0</v>
      </c>
      <c r="K821" s="506">
        <f>SUM(K822:K825)</f>
        <v>849471</v>
      </c>
      <c r="L821" s="507">
        <f>SUM(L822:L825)</f>
        <v>849471</v>
      </c>
      <c r="M821" s="507">
        <f>SUM(M822:M825)</f>
        <v>0</v>
      </c>
      <c r="N821" s="507">
        <f>SUM(N822:N825)</f>
        <v>849471</v>
      </c>
      <c r="O821" s="508"/>
      <c r="P821" s="508"/>
      <c r="Q821" s="623"/>
      <c r="R821" s="508"/>
      <c r="S821" s="508"/>
      <c r="T821" s="509"/>
    </row>
    <row r="822" spans="1:20" ht="54.75" hidden="1" customHeight="1">
      <c r="A822" s="273" t="s">
        <v>627</v>
      </c>
      <c r="B822" s="481" t="s">
        <v>1017</v>
      </c>
      <c r="C822" s="490" t="s">
        <v>521</v>
      </c>
      <c r="D822" s="483">
        <v>8100</v>
      </c>
      <c r="E822" s="484">
        <v>108288</v>
      </c>
      <c r="F822" s="525" t="s">
        <v>80</v>
      </c>
      <c r="G822" s="488" t="s">
        <v>177</v>
      </c>
      <c r="H822" s="489">
        <v>30</v>
      </c>
      <c r="I822" s="473">
        <f>INT(L822*$Q$139)</f>
        <v>246000</v>
      </c>
      <c r="J822" s="473">
        <f>INT(M822*$R$139)</f>
        <v>0</v>
      </c>
      <c r="K822" s="473">
        <f>SUM(I822:J822)</f>
        <v>246000</v>
      </c>
      <c r="L822" s="167">
        <v>246000</v>
      </c>
      <c r="M822" s="167"/>
      <c r="N822" s="167">
        <f>SUM(L822,M822)</f>
        <v>246000</v>
      </c>
      <c r="O822" s="405"/>
      <c r="P822" s="405"/>
    </row>
    <row r="823" spans="1:20" ht="54.75" hidden="1" customHeight="1">
      <c r="A823" s="273" t="s">
        <v>628</v>
      </c>
      <c r="B823" s="481" t="s">
        <v>1018</v>
      </c>
      <c r="C823" s="490" t="s">
        <v>308</v>
      </c>
      <c r="D823" s="483">
        <v>8100</v>
      </c>
      <c r="E823" s="484">
        <v>108288</v>
      </c>
      <c r="F823" s="525" t="s">
        <v>80</v>
      </c>
      <c r="G823" s="488" t="s">
        <v>216</v>
      </c>
      <c r="H823" s="489">
        <v>7</v>
      </c>
      <c r="I823" s="473">
        <f>INT(L823*$Q$139)</f>
        <v>70000</v>
      </c>
      <c r="J823" s="473">
        <f>INT(M823*$R$139)</f>
        <v>0</v>
      </c>
      <c r="K823" s="473">
        <f>SUM(I823:J823)</f>
        <v>70000</v>
      </c>
      <c r="L823" s="167">
        <v>70000</v>
      </c>
      <c r="M823" s="167"/>
      <c r="N823" s="167">
        <f>SUM(L823,M823)</f>
        <v>70000</v>
      </c>
      <c r="O823" s="405"/>
      <c r="P823" s="405"/>
    </row>
    <row r="824" spans="1:20" ht="54.75" hidden="1" customHeight="1">
      <c r="A824" s="273" t="s">
        <v>629</v>
      </c>
      <c r="B824" s="481" t="s">
        <v>1019</v>
      </c>
      <c r="C824" s="490" t="s">
        <v>40</v>
      </c>
      <c r="D824" s="483">
        <v>8100</v>
      </c>
      <c r="E824" s="484">
        <v>108288</v>
      </c>
      <c r="F824" s="525" t="s">
        <v>80</v>
      </c>
      <c r="G824" s="488" t="s">
        <v>203</v>
      </c>
      <c r="H824" s="489">
        <v>2</v>
      </c>
      <c r="I824" s="473">
        <f>INT(L824*$Q$139)</f>
        <v>500000</v>
      </c>
      <c r="J824" s="473">
        <f>INT(M824*$R$139)</f>
        <v>0</v>
      </c>
      <c r="K824" s="473">
        <f>SUM(I824:J824)</f>
        <v>500000</v>
      </c>
      <c r="L824" s="167">
        <v>500000</v>
      </c>
      <c r="M824" s="167"/>
      <c r="N824" s="167">
        <f>SUM(L824,M824)</f>
        <v>500000</v>
      </c>
      <c r="O824" s="405"/>
      <c r="P824" s="405"/>
    </row>
    <row r="825" spans="1:20" ht="54.75" hidden="1" customHeight="1">
      <c r="A825" s="273" t="s">
        <v>630</v>
      </c>
      <c r="B825" s="481" t="s">
        <v>1020</v>
      </c>
      <c r="C825" s="490" t="s">
        <v>405</v>
      </c>
      <c r="D825" s="483">
        <v>8100</v>
      </c>
      <c r="E825" s="484">
        <v>108288</v>
      </c>
      <c r="F825" s="525" t="s">
        <v>80</v>
      </c>
      <c r="G825" s="488" t="s">
        <v>20</v>
      </c>
      <c r="H825" s="489">
        <v>1</v>
      </c>
      <c r="I825" s="473">
        <f>INT(L825*$Q$139)</f>
        <v>33471</v>
      </c>
      <c r="J825" s="473">
        <f>INT(M825*$R$139)</f>
        <v>0</v>
      </c>
      <c r="K825" s="473">
        <f>SUM(I825:J825)</f>
        <v>33471</v>
      </c>
      <c r="L825" s="167">
        <v>33471</v>
      </c>
      <c r="M825" s="167"/>
      <c r="N825" s="167">
        <f>SUM(L825,M825)</f>
        <v>33471</v>
      </c>
      <c r="O825" s="405"/>
      <c r="P825" s="405"/>
    </row>
    <row r="826" spans="1:20" s="510" customFormat="1" ht="72" hidden="1" customHeight="1">
      <c r="A826" s="501"/>
      <c r="B826" s="502"/>
      <c r="C826" s="503" t="s">
        <v>753</v>
      </c>
      <c r="D826" s="504"/>
      <c r="E826" s="505"/>
      <c r="F826" s="504"/>
      <c r="G826" s="504"/>
      <c r="H826" s="504"/>
      <c r="I826" s="506">
        <f t="shared" ref="I826:N826" si="169">SUM(I827:I828)</f>
        <v>1260000</v>
      </c>
      <c r="J826" s="506">
        <f t="shared" si="169"/>
        <v>0</v>
      </c>
      <c r="K826" s="506">
        <f t="shared" si="169"/>
        <v>1260000</v>
      </c>
      <c r="L826" s="507">
        <f t="shared" si="169"/>
        <v>1260000</v>
      </c>
      <c r="M826" s="507">
        <f t="shared" si="169"/>
        <v>0</v>
      </c>
      <c r="N826" s="507">
        <f t="shared" si="169"/>
        <v>1260000</v>
      </c>
      <c r="O826" s="508"/>
      <c r="P826" s="508"/>
      <c r="Q826" s="623"/>
      <c r="R826" s="508"/>
      <c r="S826" s="508"/>
      <c r="T826" s="509"/>
    </row>
    <row r="827" spans="1:20" ht="54.75" hidden="1" customHeight="1">
      <c r="A827" s="273" t="s">
        <v>924</v>
      </c>
      <c r="B827" s="481" t="s">
        <v>1039</v>
      </c>
      <c r="C827" s="490" t="s">
        <v>1261</v>
      </c>
      <c r="D827" s="483">
        <v>8100</v>
      </c>
      <c r="E827" s="484" t="s">
        <v>780</v>
      </c>
      <c r="F827" s="525" t="s">
        <v>80</v>
      </c>
      <c r="G827" s="488" t="s">
        <v>878</v>
      </c>
      <c r="H827" s="489">
        <v>1</v>
      </c>
      <c r="I827" s="473">
        <f>INT(L827*$Q$139)</f>
        <v>480000</v>
      </c>
      <c r="J827" s="473">
        <f>INT(M827*$R$139)</f>
        <v>0</v>
      </c>
      <c r="K827" s="473">
        <f>SUM(I827:J827)</f>
        <v>480000</v>
      </c>
      <c r="L827" s="167">
        <v>480000</v>
      </c>
      <c r="M827" s="167"/>
      <c r="N827" s="167">
        <f>SUM(L827,M827)</f>
        <v>480000</v>
      </c>
      <c r="O827" s="405"/>
      <c r="P827" s="405"/>
    </row>
    <row r="828" spans="1:20" ht="54.75" hidden="1" customHeight="1">
      <c r="A828" s="273" t="s">
        <v>923</v>
      </c>
      <c r="B828" s="481" t="s">
        <v>1040</v>
      </c>
      <c r="C828" s="490" t="s">
        <v>818</v>
      </c>
      <c r="D828" s="483">
        <v>8100</v>
      </c>
      <c r="E828" s="484" t="s">
        <v>780</v>
      </c>
      <c r="F828" s="525" t="s">
        <v>80</v>
      </c>
      <c r="G828" s="488" t="s">
        <v>877</v>
      </c>
      <c r="H828" s="489">
        <v>1</v>
      </c>
      <c r="I828" s="473">
        <f>INT(L828*$Q$139)</f>
        <v>780000</v>
      </c>
      <c r="J828" s="473">
        <f>INT(M828*$R$139)</f>
        <v>0</v>
      </c>
      <c r="K828" s="473">
        <f>SUM(I828:J828)</f>
        <v>780000</v>
      </c>
      <c r="L828" s="167">
        <v>780000</v>
      </c>
      <c r="M828" s="167"/>
      <c r="N828" s="167">
        <f>SUM(L828,M828)</f>
        <v>780000</v>
      </c>
      <c r="O828" s="405"/>
      <c r="P828" s="405"/>
    </row>
    <row r="829" spans="1:20" ht="32.25" hidden="1" customHeight="1">
      <c r="B829" s="418"/>
      <c r="C829" s="419"/>
      <c r="D829" s="419"/>
      <c r="E829" s="419"/>
      <c r="F829" s="419"/>
      <c r="G829" s="419"/>
      <c r="H829" s="419"/>
      <c r="I829" s="419"/>
      <c r="J829" s="419"/>
      <c r="K829" s="420"/>
      <c r="L829" s="192"/>
      <c r="M829" s="192"/>
      <c r="N829" s="192"/>
      <c r="O829" s="27"/>
      <c r="P829" s="27"/>
      <c r="Q829" s="620"/>
      <c r="R829" s="27"/>
      <c r="S829" s="27"/>
      <c r="T829" s="27"/>
    </row>
    <row r="830" spans="1:20" s="472" customFormat="1" ht="45" hidden="1" customHeight="1">
      <c r="A830" s="478" t="s">
        <v>200</v>
      </c>
      <c r="B830" s="1263" t="s">
        <v>200</v>
      </c>
      <c r="C830" s="1264"/>
      <c r="D830" s="1264"/>
      <c r="E830" s="1264"/>
      <c r="F830" s="1264"/>
      <c r="G830" s="1264"/>
      <c r="H830" s="1265"/>
      <c r="I830" s="479">
        <f t="shared" ref="I830:N830" si="170">SUM(I810,I815,I817,I821,I826)</f>
        <v>2343765</v>
      </c>
      <c r="J830" s="479">
        <f t="shared" si="170"/>
        <v>0</v>
      </c>
      <c r="K830" s="479">
        <f t="shared" si="170"/>
        <v>2343765</v>
      </c>
      <c r="L830" s="480">
        <f t="shared" si="170"/>
        <v>2343765</v>
      </c>
      <c r="M830" s="480">
        <f t="shared" si="170"/>
        <v>0</v>
      </c>
      <c r="N830" s="480">
        <f t="shared" si="170"/>
        <v>2343765</v>
      </c>
      <c r="O830" s="470"/>
      <c r="P830" s="470"/>
      <c r="Q830" s="622"/>
      <c r="R830" s="470"/>
      <c r="S830" s="470"/>
      <c r="T830" s="471"/>
    </row>
    <row r="831" spans="1:20" ht="66" hidden="1" customHeight="1">
      <c r="A831" s="107"/>
      <c r="B831" s="1287" t="s">
        <v>1283</v>
      </c>
      <c r="C831" s="1287"/>
      <c r="D831" s="1287"/>
      <c r="E831" s="1287"/>
      <c r="F831" s="1287"/>
      <c r="G831" s="1287"/>
      <c r="H831" s="1287"/>
      <c r="I831" s="1287"/>
      <c r="J831" s="1287"/>
      <c r="K831" s="1287"/>
      <c r="L831" s="338"/>
      <c r="M831" s="338"/>
      <c r="N831" s="338"/>
      <c r="O831" s="27"/>
      <c r="P831" s="27"/>
      <c r="Q831" s="620"/>
      <c r="R831" s="27"/>
      <c r="S831" s="27"/>
      <c r="T831" s="27"/>
    </row>
    <row r="832" spans="1:20" ht="45" hidden="1" customHeight="1">
      <c r="C832" s="1290"/>
      <c r="D832" s="1290"/>
      <c r="E832" s="1290"/>
      <c r="F832" s="1290"/>
      <c r="G832" s="1290"/>
      <c r="H832" s="1290"/>
      <c r="I832" s="1290"/>
      <c r="J832" s="1290"/>
      <c r="K832" s="1290"/>
      <c r="L832" s="1290"/>
      <c r="M832" s="1290"/>
      <c r="N832" s="1290"/>
      <c r="O832" s="27"/>
      <c r="P832" s="27"/>
      <c r="Q832" s="620"/>
      <c r="R832" s="27"/>
      <c r="S832" s="27"/>
      <c r="T832" s="27"/>
    </row>
    <row r="833" spans="1:20" ht="24.95" hidden="1" customHeight="1">
      <c r="O833" s="27"/>
      <c r="P833" s="27"/>
      <c r="Q833" s="620"/>
      <c r="R833" s="27"/>
      <c r="S833" s="27"/>
      <c r="T833" s="27"/>
    </row>
    <row r="834" spans="1:20" ht="24.95" hidden="1" customHeight="1" thickBot="1">
      <c r="C834" s="609"/>
      <c r="D834" s="609"/>
      <c r="E834" s="609"/>
      <c r="L834" s="1291"/>
      <c r="M834" s="1291"/>
      <c r="N834" s="1291"/>
      <c r="O834" s="27"/>
      <c r="P834" s="27"/>
      <c r="Q834" s="620"/>
      <c r="R834" s="27"/>
      <c r="S834" s="27"/>
      <c r="T834" s="27"/>
    </row>
    <row r="835" spans="1:20" ht="30" hidden="1" customHeight="1">
      <c r="C835" s="1204" t="s">
        <v>51</v>
      </c>
      <c r="D835" s="1204"/>
      <c r="E835" s="1204"/>
      <c r="F835" s="1204"/>
      <c r="H835" s="1243" t="s">
        <v>11</v>
      </c>
      <c r="I835" s="1244"/>
      <c r="J835" s="1244"/>
      <c r="K835" s="1245"/>
      <c r="L835" s="337"/>
      <c r="M835" s="337"/>
      <c r="N835" s="337"/>
      <c r="O835" s="27"/>
      <c r="P835" s="27"/>
      <c r="Q835" s="620"/>
      <c r="R835" s="27"/>
      <c r="S835" s="27"/>
      <c r="T835" s="27"/>
    </row>
    <row r="836" spans="1:20" ht="30" hidden="1" customHeight="1">
      <c r="C836" s="1204" t="s">
        <v>52</v>
      </c>
      <c r="D836" s="1204"/>
      <c r="E836" s="1204"/>
      <c r="F836" s="1204"/>
      <c r="G836" s="10"/>
      <c r="H836" s="1208" t="s">
        <v>161</v>
      </c>
      <c r="I836" s="1209"/>
      <c r="J836" s="1209"/>
      <c r="K836" s="1210"/>
      <c r="L836" s="336"/>
      <c r="M836" s="336"/>
      <c r="N836" s="336"/>
      <c r="O836" s="27"/>
      <c r="P836" s="27"/>
      <c r="Q836" s="620"/>
      <c r="R836" s="27"/>
      <c r="S836" s="27"/>
      <c r="T836" s="27"/>
    </row>
    <row r="837" spans="1:20" ht="30" hidden="1" customHeight="1">
      <c r="C837" s="1204" t="s">
        <v>50</v>
      </c>
      <c r="D837" s="1204"/>
      <c r="E837" s="1204"/>
      <c r="F837" s="1204"/>
      <c r="G837" s="44"/>
      <c r="H837" s="1211"/>
      <c r="I837" s="1212"/>
      <c r="J837" s="1212"/>
      <c r="K837" s="1213"/>
      <c r="L837" s="336"/>
      <c r="M837" s="336"/>
      <c r="N837" s="336"/>
      <c r="O837" s="27"/>
      <c r="P837" s="27"/>
      <c r="Q837" s="620"/>
      <c r="R837" s="27"/>
      <c r="S837" s="27"/>
      <c r="T837" s="27"/>
    </row>
    <row r="838" spans="1:20" ht="39.950000000000003" hidden="1" customHeight="1">
      <c r="A838" s="75"/>
      <c r="B838" s="75"/>
      <c r="C838" s="65"/>
      <c r="D838" s="65"/>
      <c r="E838" s="65"/>
      <c r="F838" s="10"/>
      <c r="G838" s="10"/>
      <c r="H838" s="1211" t="s">
        <v>22</v>
      </c>
      <c r="I838" s="1212"/>
      <c r="J838" s="1212"/>
      <c r="K838" s="477">
        <f>SUM(K861)</f>
        <v>144573</v>
      </c>
      <c r="L838" s="336"/>
      <c r="M838" s="336"/>
      <c r="N838" s="86"/>
      <c r="O838" s="27"/>
      <c r="P838" s="27"/>
      <c r="Q838" s="620"/>
      <c r="R838" s="27"/>
      <c r="S838" s="27"/>
      <c r="T838" s="27"/>
    </row>
    <row r="839" spans="1:20" ht="50.25" hidden="1" customHeight="1" thickBot="1">
      <c r="A839" s="75"/>
      <c r="B839" s="75"/>
      <c r="C839" s="65"/>
      <c r="D839" s="65"/>
      <c r="E839" s="65"/>
      <c r="F839" s="10"/>
      <c r="G839" s="10"/>
      <c r="H839" s="1283" t="s">
        <v>13</v>
      </c>
      <c r="I839" s="1284"/>
      <c r="J839" s="1284"/>
      <c r="K839" s="1285"/>
      <c r="L839" s="336"/>
      <c r="M839" s="336"/>
      <c r="N839" s="336"/>
      <c r="O839" s="27"/>
      <c r="P839" s="27"/>
      <c r="Q839" s="620"/>
      <c r="R839" s="27"/>
      <c r="S839" s="27"/>
      <c r="T839" s="27"/>
    </row>
    <row r="840" spans="1:20" ht="17.100000000000001" hidden="1" customHeight="1">
      <c r="A840" s="75"/>
      <c r="B840" s="75"/>
      <c r="C840" s="65"/>
      <c r="D840" s="65"/>
      <c r="E840" s="65"/>
      <c r="F840" s="10"/>
      <c r="G840" s="10"/>
      <c r="H840" s="39"/>
      <c r="I840" s="39"/>
      <c r="J840" s="39"/>
      <c r="K840" s="39"/>
      <c r="L840" s="39"/>
      <c r="M840" s="39"/>
      <c r="N840" s="39"/>
      <c r="O840" s="27"/>
      <c r="P840" s="27"/>
      <c r="Q840" s="620"/>
      <c r="R840" s="27"/>
      <c r="S840" s="27"/>
      <c r="T840" s="27"/>
    </row>
    <row r="841" spans="1:20" ht="17.100000000000001" hidden="1" customHeight="1">
      <c r="A841" s="75"/>
      <c r="B841" s="75"/>
      <c r="C841" s="65"/>
      <c r="D841" s="65"/>
      <c r="E841" s="65"/>
      <c r="F841" s="10"/>
      <c r="G841" s="10"/>
      <c r="H841" s="10"/>
      <c r="I841" s="10"/>
      <c r="J841" s="10"/>
      <c r="K841" s="10"/>
      <c r="L841" s="10"/>
      <c r="M841" s="10"/>
      <c r="N841" s="10"/>
      <c r="O841" s="27"/>
      <c r="P841" s="27"/>
      <c r="Q841" s="620"/>
      <c r="R841" s="27"/>
      <c r="S841" s="27"/>
      <c r="T841" s="27"/>
    </row>
    <row r="842" spans="1:20" ht="30" hidden="1" customHeight="1">
      <c r="A842" s="75"/>
      <c r="B842" s="75"/>
      <c r="C842" s="65"/>
      <c r="D842" s="65"/>
      <c r="E842" s="65"/>
      <c r="F842" s="10"/>
      <c r="G842" s="10"/>
      <c r="H842" s="10"/>
      <c r="I842" s="10"/>
      <c r="J842" s="10"/>
      <c r="K842" s="10"/>
      <c r="L842" s="10"/>
      <c r="M842" s="10"/>
      <c r="N842" s="10"/>
      <c r="O842" s="27"/>
      <c r="P842" s="27"/>
      <c r="Q842" s="620"/>
      <c r="R842" s="27"/>
      <c r="S842" s="27"/>
      <c r="T842" s="27"/>
    </row>
    <row r="843" spans="1:20" ht="44.25" hidden="1" customHeight="1">
      <c r="A843" s="346" t="s">
        <v>1059</v>
      </c>
      <c r="B843" s="1226" t="s">
        <v>1037</v>
      </c>
      <c r="C843" s="1226"/>
      <c r="D843" s="1226"/>
      <c r="E843" s="1226"/>
      <c r="F843" s="1226"/>
      <c r="G843" s="1226"/>
      <c r="H843" s="1226"/>
      <c r="I843" s="1226"/>
      <c r="J843" s="1226"/>
      <c r="K843" s="1226"/>
      <c r="L843" s="346"/>
      <c r="M843" s="346"/>
      <c r="N843" s="346"/>
      <c r="O843" s="27"/>
      <c r="P843" s="27"/>
      <c r="Q843" s="620"/>
      <c r="R843" s="27"/>
      <c r="S843" s="27"/>
      <c r="T843" s="27"/>
    </row>
    <row r="844" spans="1:20" ht="54.95" hidden="1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27"/>
      <c r="P844" s="27"/>
      <c r="Q844" s="620"/>
      <c r="R844" s="27"/>
      <c r="S844" s="27"/>
      <c r="T844" s="27"/>
    </row>
    <row r="845" spans="1:20" s="500" customFormat="1" ht="90" hidden="1">
      <c r="A845" s="496" t="s">
        <v>14</v>
      </c>
      <c r="B845" s="497" t="s">
        <v>14</v>
      </c>
      <c r="C845" s="497" t="s">
        <v>37</v>
      </c>
      <c r="D845" s="497" t="s">
        <v>440</v>
      </c>
      <c r="E845" s="497" t="s">
        <v>16</v>
      </c>
      <c r="F845" s="497" t="s">
        <v>185</v>
      </c>
      <c r="G845" s="497" t="s">
        <v>178</v>
      </c>
      <c r="H845" s="497" t="s">
        <v>179</v>
      </c>
      <c r="I845" s="497" t="s">
        <v>180</v>
      </c>
      <c r="J845" s="497" t="s">
        <v>181</v>
      </c>
      <c r="K845" s="497" t="s">
        <v>200</v>
      </c>
      <c r="L845" s="496" t="s">
        <v>180</v>
      </c>
      <c r="M845" s="496" t="s">
        <v>181</v>
      </c>
      <c r="N845" s="496" t="s">
        <v>200</v>
      </c>
      <c r="O845" s="498"/>
      <c r="P845" s="498"/>
      <c r="Q845" s="622"/>
      <c r="R845" s="498"/>
      <c r="S845" s="498"/>
      <c r="T845" s="499"/>
    </row>
    <row r="846" spans="1:20" s="510" customFormat="1" ht="72" hidden="1" customHeight="1">
      <c r="A846" s="501"/>
      <c r="B846" s="502"/>
      <c r="C846" s="503" t="s">
        <v>273</v>
      </c>
      <c r="D846" s="504"/>
      <c r="E846" s="505"/>
      <c r="F846" s="504"/>
      <c r="G846" s="504"/>
      <c r="H846" s="504"/>
      <c r="I846" s="506">
        <f t="shared" ref="I846:N846" si="171">SUM(I847)</f>
        <v>10000</v>
      </c>
      <c r="J846" s="506">
        <f t="shared" si="171"/>
        <v>0</v>
      </c>
      <c r="K846" s="506">
        <f t="shared" si="171"/>
        <v>10000</v>
      </c>
      <c r="L846" s="507">
        <f t="shared" si="171"/>
        <v>10000</v>
      </c>
      <c r="M846" s="507">
        <f t="shared" si="171"/>
        <v>0</v>
      </c>
      <c r="N846" s="507">
        <f t="shared" si="171"/>
        <v>10000</v>
      </c>
      <c r="O846" s="508"/>
      <c r="P846" s="508"/>
      <c r="Q846" s="623"/>
      <c r="R846" s="508"/>
      <c r="S846" s="508"/>
      <c r="T846" s="509"/>
    </row>
    <row r="847" spans="1:20" ht="54.75" hidden="1" customHeight="1">
      <c r="A847" s="273" t="s">
        <v>667</v>
      </c>
      <c r="B847" s="481" t="s">
        <v>1021</v>
      </c>
      <c r="C847" s="490" t="s">
        <v>153</v>
      </c>
      <c r="D847" s="483">
        <v>8100</v>
      </c>
      <c r="E847" s="484">
        <v>108288</v>
      </c>
      <c r="F847" s="525" t="s">
        <v>146</v>
      </c>
      <c r="G847" s="488" t="s">
        <v>203</v>
      </c>
      <c r="H847" s="489">
        <v>1</v>
      </c>
      <c r="I847" s="473">
        <f>INT(L847*$Q$139)</f>
        <v>10000</v>
      </c>
      <c r="J847" s="473">
        <f>INT(M847*$R$139)</f>
        <v>0</v>
      </c>
      <c r="K847" s="473">
        <f>SUM(I847:J847)</f>
        <v>10000</v>
      </c>
      <c r="L847" s="167">
        <v>10000</v>
      </c>
      <c r="M847" s="167"/>
      <c r="N847" s="167">
        <f>SUM(L847,M847)</f>
        <v>10000</v>
      </c>
      <c r="O847" s="405"/>
      <c r="P847" s="405"/>
    </row>
    <row r="848" spans="1:20" s="510" customFormat="1" ht="72" hidden="1" customHeight="1">
      <c r="A848" s="501"/>
      <c r="B848" s="502"/>
      <c r="C848" s="503" t="s">
        <v>292</v>
      </c>
      <c r="D848" s="504"/>
      <c r="E848" s="505"/>
      <c r="F848" s="504"/>
      <c r="G848" s="504"/>
      <c r="H848" s="504"/>
      <c r="I848" s="506">
        <f>SUM(I849:I852)</f>
        <v>114573</v>
      </c>
      <c r="J848" s="506"/>
      <c r="K848" s="506">
        <f>SUM(K849:K852)</f>
        <v>114573</v>
      </c>
      <c r="L848" s="507">
        <f>SUM(L849:L852)</f>
        <v>114573</v>
      </c>
      <c r="M848" s="507">
        <f>SUM(M849:M852)</f>
        <v>0</v>
      </c>
      <c r="N848" s="507">
        <f>SUM(N849:N852)</f>
        <v>114573</v>
      </c>
      <c r="O848" s="508"/>
      <c r="P848" s="508"/>
      <c r="Q848" s="623"/>
      <c r="R848" s="508"/>
      <c r="S848" s="508"/>
      <c r="T848" s="509"/>
    </row>
    <row r="849" spans="1:20" ht="54.75" hidden="1" customHeight="1">
      <c r="A849" s="273" t="s">
        <v>609</v>
      </c>
      <c r="B849" s="481" t="s">
        <v>1166</v>
      </c>
      <c r="C849" s="490" t="s">
        <v>176</v>
      </c>
      <c r="D849" s="483">
        <v>8100</v>
      </c>
      <c r="E849" s="484">
        <v>108288</v>
      </c>
      <c r="F849" s="525" t="s">
        <v>146</v>
      </c>
      <c r="G849" s="488" t="s">
        <v>79</v>
      </c>
      <c r="H849" s="489">
        <v>1</v>
      </c>
      <c r="I849" s="473">
        <f>INT(L849*$Q$139)</f>
        <v>42287</v>
      </c>
      <c r="J849" s="473">
        <f>INT(M849*$R$139)</f>
        <v>0</v>
      </c>
      <c r="K849" s="473">
        <f>SUM(I849:J849)</f>
        <v>42287</v>
      </c>
      <c r="L849" s="167">
        <v>42287</v>
      </c>
      <c r="M849" s="167"/>
      <c r="N849" s="167">
        <f>SUM(L849,M849)</f>
        <v>42287</v>
      </c>
      <c r="O849" s="405"/>
      <c r="P849" s="405"/>
    </row>
    <row r="850" spans="1:20" ht="54.75" hidden="1" customHeight="1">
      <c r="A850" s="273" t="s">
        <v>610</v>
      </c>
      <c r="B850" s="481" t="s">
        <v>1022</v>
      </c>
      <c r="C850" s="490" t="s">
        <v>82</v>
      </c>
      <c r="D850" s="483">
        <v>8100</v>
      </c>
      <c r="E850" s="484">
        <v>108288</v>
      </c>
      <c r="F850" s="525" t="s">
        <v>146</v>
      </c>
      <c r="G850" s="488" t="s">
        <v>456</v>
      </c>
      <c r="H850" s="489">
        <v>20000</v>
      </c>
      <c r="I850" s="473">
        <f>INT(L850*$Q$139)</f>
        <v>36271</v>
      </c>
      <c r="J850" s="473">
        <f>INT(M850*$R$139)</f>
        <v>0</v>
      </c>
      <c r="K850" s="473">
        <f>SUM(I850:J850)</f>
        <v>36271</v>
      </c>
      <c r="L850" s="167">
        <v>36271</v>
      </c>
      <c r="M850" s="167"/>
      <c r="N850" s="167">
        <f>SUM(L850,M850)</f>
        <v>36271</v>
      </c>
      <c r="O850" s="405"/>
      <c r="P850" s="405"/>
    </row>
    <row r="851" spans="1:20" ht="54.75" hidden="1" customHeight="1">
      <c r="A851" s="273" t="s">
        <v>611</v>
      </c>
      <c r="B851" s="481" t="s">
        <v>1023</v>
      </c>
      <c r="C851" s="490" t="s">
        <v>65</v>
      </c>
      <c r="D851" s="483">
        <v>8100</v>
      </c>
      <c r="E851" s="484">
        <v>108288</v>
      </c>
      <c r="F851" s="525" t="s">
        <v>146</v>
      </c>
      <c r="G851" s="488" t="s">
        <v>214</v>
      </c>
      <c r="H851" s="489">
        <v>30</v>
      </c>
      <c r="I851" s="473">
        <f>INT(L851*$Q$139)</f>
        <v>26015</v>
      </c>
      <c r="J851" s="473">
        <f>INT(M851*$R$139)</f>
        <v>0</v>
      </c>
      <c r="K851" s="473">
        <f>SUM(I851:J851)</f>
        <v>26015</v>
      </c>
      <c r="L851" s="167">
        <v>26015</v>
      </c>
      <c r="M851" s="167"/>
      <c r="N851" s="167">
        <f>SUM(L851,M851)</f>
        <v>26015</v>
      </c>
      <c r="O851" s="405"/>
      <c r="P851" s="405"/>
    </row>
    <row r="852" spans="1:20" ht="54.75" hidden="1" customHeight="1">
      <c r="A852" s="273" t="s">
        <v>612</v>
      </c>
      <c r="B852" s="481" t="s">
        <v>1167</v>
      </c>
      <c r="C852" s="490" t="s">
        <v>66</v>
      </c>
      <c r="D852" s="483">
        <v>8100</v>
      </c>
      <c r="E852" s="484">
        <v>108288</v>
      </c>
      <c r="F852" s="525" t="s">
        <v>146</v>
      </c>
      <c r="G852" s="488" t="s">
        <v>182</v>
      </c>
      <c r="H852" s="489">
        <v>5000</v>
      </c>
      <c r="I852" s="473">
        <f>INT(L852*$Q$139)</f>
        <v>10000</v>
      </c>
      <c r="J852" s="473">
        <f>INT(M852*$R$139)</f>
        <v>0</v>
      </c>
      <c r="K852" s="473">
        <f>SUM(I852:J852)</f>
        <v>10000</v>
      </c>
      <c r="L852" s="167">
        <v>10000</v>
      </c>
      <c r="M852" s="167"/>
      <c r="N852" s="167">
        <f>SUM(L852,M852)</f>
        <v>10000</v>
      </c>
      <c r="O852" s="405"/>
      <c r="P852" s="405"/>
    </row>
    <row r="853" spans="1:20" s="510" customFormat="1" ht="72" hidden="1" customHeight="1">
      <c r="A853" s="501"/>
      <c r="B853" s="502"/>
      <c r="C853" s="503" t="s">
        <v>278</v>
      </c>
      <c r="D853" s="504"/>
      <c r="E853" s="505"/>
      <c r="F853" s="504"/>
      <c r="G853" s="504"/>
      <c r="H853" s="504"/>
      <c r="I853" s="506">
        <f>SUM(I854)</f>
        <v>20000</v>
      </c>
      <c r="J853" s="506"/>
      <c r="K853" s="506">
        <f>SUM(K854)</f>
        <v>20000</v>
      </c>
      <c r="L853" s="507">
        <f>SUM(L854)</f>
        <v>20000</v>
      </c>
      <c r="M853" s="507">
        <f>SUM(M854)</f>
        <v>0</v>
      </c>
      <c r="N853" s="507">
        <f>SUM(N854)</f>
        <v>20000</v>
      </c>
      <c r="O853" s="508"/>
      <c r="P853" s="508"/>
      <c r="Q853" s="623"/>
      <c r="R853" s="508"/>
      <c r="S853" s="508"/>
      <c r="T853" s="509"/>
    </row>
    <row r="854" spans="1:20" ht="54.75" hidden="1" customHeight="1">
      <c r="A854" s="273" t="s">
        <v>651</v>
      </c>
      <c r="B854" s="481" t="s">
        <v>1024</v>
      </c>
      <c r="C854" s="490" t="s">
        <v>83</v>
      </c>
      <c r="D854" s="483">
        <v>8100</v>
      </c>
      <c r="E854" s="484" t="s">
        <v>686</v>
      </c>
      <c r="F854" s="525" t="s">
        <v>146</v>
      </c>
      <c r="G854" s="488" t="s">
        <v>18</v>
      </c>
      <c r="H854" s="489">
        <v>5</v>
      </c>
      <c r="I854" s="473">
        <f>INT(L854*$Q$139)</f>
        <v>20000</v>
      </c>
      <c r="J854" s="473">
        <f>INT(M854*$R$139)</f>
        <v>0</v>
      </c>
      <c r="K854" s="473">
        <f>SUM(I854:J854)</f>
        <v>20000</v>
      </c>
      <c r="L854" s="167">
        <v>20000</v>
      </c>
      <c r="M854" s="167"/>
      <c r="N854" s="167">
        <f>SUM(L854,M854)</f>
        <v>20000</v>
      </c>
      <c r="O854" s="405"/>
      <c r="P854" s="405"/>
    </row>
    <row r="855" spans="1:20" ht="45" hidden="1" customHeight="1">
      <c r="A855" s="151"/>
      <c r="B855" s="138"/>
      <c r="C855" s="139" t="s">
        <v>274</v>
      </c>
      <c r="D855" s="139"/>
      <c r="E855" s="139"/>
      <c r="F855" s="138"/>
      <c r="G855" s="143"/>
      <c r="H855" s="135"/>
      <c r="I855" s="385"/>
      <c r="J855" s="385">
        <f>SUM(J856:J857)</f>
        <v>0</v>
      </c>
      <c r="K855" s="385">
        <f>SUM(K856:K857)</f>
        <v>0</v>
      </c>
      <c r="L855" s="49"/>
      <c r="M855" s="49">
        <f>SUM(M856:M857)</f>
        <v>0</v>
      </c>
      <c r="N855" s="49">
        <f>SUM(N856:N857)</f>
        <v>0</v>
      </c>
      <c r="O855" s="27"/>
      <c r="P855" s="27"/>
      <c r="Q855" s="620"/>
      <c r="R855" s="27"/>
      <c r="S855" s="27"/>
      <c r="T855" s="27"/>
    </row>
    <row r="856" spans="1:20" ht="45" hidden="1" customHeight="1">
      <c r="A856" s="252" t="s">
        <v>858</v>
      </c>
      <c r="B856" s="252" t="s">
        <v>858</v>
      </c>
      <c r="C856" s="250" t="s">
        <v>84</v>
      </c>
      <c r="D856" s="228">
        <v>112</v>
      </c>
      <c r="E856" s="229" t="s">
        <v>795</v>
      </c>
      <c r="F856" s="249" t="s">
        <v>146</v>
      </c>
      <c r="G856" s="248" t="s">
        <v>142</v>
      </c>
      <c r="H856" s="249">
        <v>3</v>
      </c>
      <c r="I856" s="386">
        <f>INT(L856*$Q$139)</f>
        <v>0</v>
      </c>
      <c r="J856" s="386">
        <f>INT(M856*$R$139)</f>
        <v>0</v>
      </c>
      <c r="K856" s="386">
        <f>SUM(I856:J856)</f>
        <v>0</v>
      </c>
      <c r="L856" s="174"/>
      <c r="M856" s="174"/>
      <c r="N856" s="174">
        <f>SUM(L856,M856)</f>
        <v>0</v>
      </c>
      <c r="O856" s="27"/>
      <c r="P856" s="27"/>
      <c r="Q856" s="620"/>
      <c r="R856" s="27"/>
      <c r="S856" s="27"/>
      <c r="T856" s="27"/>
    </row>
    <row r="857" spans="1:20" ht="45" hidden="1" customHeight="1">
      <c r="A857" s="252" t="s">
        <v>847</v>
      </c>
      <c r="B857" s="252" t="s">
        <v>847</v>
      </c>
      <c r="C857" s="250" t="s">
        <v>154</v>
      </c>
      <c r="D857" s="228">
        <v>112</v>
      </c>
      <c r="E857" s="229" t="s">
        <v>795</v>
      </c>
      <c r="F857" s="249" t="s">
        <v>146</v>
      </c>
      <c r="G857" s="248" t="s">
        <v>232</v>
      </c>
      <c r="H857" s="249">
        <v>10</v>
      </c>
      <c r="I857" s="386">
        <f>INT(L857*$Q$139)</f>
        <v>0</v>
      </c>
      <c r="J857" s="386">
        <f>INT(M857*$R$139)</f>
        <v>0</v>
      </c>
      <c r="K857" s="386">
        <f>SUM(I857:J857)</f>
        <v>0</v>
      </c>
      <c r="L857" s="174"/>
      <c r="M857" s="174"/>
      <c r="N857" s="174">
        <f>SUM(L857,M857)</f>
        <v>0</v>
      </c>
      <c r="O857" s="27"/>
      <c r="P857" s="27"/>
      <c r="Q857" s="620"/>
      <c r="R857" s="27"/>
      <c r="S857" s="27"/>
      <c r="T857" s="27"/>
    </row>
    <row r="858" spans="1:20" ht="45" hidden="1" customHeight="1">
      <c r="A858" s="133"/>
      <c r="B858" s="135"/>
      <c r="C858" s="139" t="s">
        <v>723</v>
      </c>
      <c r="D858" s="136"/>
      <c r="E858" s="136"/>
      <c r="F858" s="137"/>
      <c r="G858" s="139"/>
      <c r="H858" s="137"/>
      <c r="I858" s="385">
        <f>SUM(I859)</f>
        <v>0</v>
      </c>
      <c r="J858" s="385"/>
      <c r="K858" s="385">
        <f>SUM(K859)</f>
        <v>0</v>
      </c>
      <c r="L858" s="49">
        <f>SUM(L859)</f>
        <v>0</v>
      </c>
      <c r="M858" s="49"/>
      <c r="N858" s="49">
        <f>SUM(N859)</f>
        <v>0</v>
      </c>
      <c r="O858" s="27"/>
      <c r="P858" s="27"/>
      <c r="Q858" s="620"/>
      <c r="R858" s="27"/>
      <c r="S858" s="27"/>
      <c r="T858" s="27"/>
    </row>
    <row r="859" spans="1:20" ht="45" hidden="1" customHeight="1">
      <c r="A859" s="273" t="s">
        <v>748</v>
      </c>
      <c r="B859" s="273" t="s">
        <v>748</v>
      </c>
      <c r="C859" s="183" t="s">
        <v>724</v>
      </c>
      <c r="D859" s="228">
        <v>100</v>
      </c>
      <c r="E859" s="229" t="s">
        <v>791</v>
      </c>
      <c r="F859" s="249" t="s">
        <v>146</v>
      </c>
      <c r="G859" s="248" t="s">
        <v>177</v>
      </c>
      <c r="H859" s="249">
        <v>15</v>
      </c>
      <c r="I859" s="386">
        <f>L859</f>
        <v>0</v>
      </c>
      <c r="J859" s="386">
        <f>INT(M859*$R$139)</f>
        <v>0</v>
      </c>
      <c r="K859" s="386">
        <f>SUM(I859:J859)</f>
        <v>0</v>
      </c>
      <c r="L859" s="167">
        <v>0</v>
      </c>
      <c r="M859" s="167"/>
      <c r="N859" s="167">
        <f>SUM(L859,M859)</f>
        <v>0</v>
      </c>
      <c r="O859" s="27"/>
      <c r="P859" s="27"/>
      <c r="Q859" s="620"/>
      <c r="R859" s="27"/>
      <c r="S859" s="27"/>
      <c r="T859" s="27"/>
    </row>
    <row r="860" spans="1:20" ht="45" hidden="1" customHeight="1">
      <c r="A860" s="83"/>
      <c r="B860" s="234"/>
      <c r="C860" s="266"/>
      <c r="D860" s="266"/>
      <c r="E860" s="266"/>
      <c r="F860" s="267"/>
      <c r="G860" s="267"/>
      <c r="H860" s="267"/>
      <c r="I860" s="397"/>
      <c r="J860" s="397"/>
      <c r="K860" s="397"/>
      <c r="L860" s="268"/>
      <c r="M860" s="269"/>
      <c r="N860" s="268"/>
      <c r="O860" s="27"/>
      <c r="P860" s="27"/>
      <c r="Q860" s="620"/>
      <c r="R860" s="27"/>
      <c r="S860" s="27"/>
      <c r="T860" s="27"/>
    </row>
    <row r="861" spans="1:20" s="472" customFormat="1" ht="45" hidden="1" customHeight="1">
      <c r="A861" s="478" t="s">
        <v>200</v>
      </c>
      <c r="B861" s="1263" t="s">
        <v>200</v>
      </c>
      <c r="C861" s="1264"/>
      <c r="D861" s="1264"/>
      <c r="E861" s="1264"/>
      <c r="F861" s="1264"/>
      <c r="G861" s="1264"/>
      <c r="H861" s="1265"/>
      <c r="I861" s="479">
        <f t="shared" ref="I861:N861" si="172">SUM(I846,I848,I853)</f>
        <v>144573</v>
      </c>
      <c r="J861" s="479">
        <f t="shared" si="172"/>
        <v>0</v>
      </c>
      <c r="K861" s="479">
        <f t="shared" si="172"/>
        <v>144573</v>
      </c>
      <c r="L861" s="480">
        <f t="shared" si="172"/>
        <v>144573</v>
      </c>
      <c r="M861" s="480">
        <f t="shared" si="172"/>
        <v>0</v>
      </c>
      <c r="N861" s="480">
        <f t="shared" si="172"/>
        <v>144573</v>
      </c>
      <c r="O861" s="470"/>
      <c r="P861" s="470"/>
      <c r="Q861" s="622"/>
      <c r="R861" s="470"/>
      <c r="S861" s="470"/>
      <c r="T861" s="471"/>
    </row>
    <row r="862" spans="1:20" ht="58.5" hidden="1" customHeight="1">
      <c r="B862" s="1287" t="s">
        <v>1283</v>
      </c>
      <c r="C862" s="1287"/>
      <c r="D862" s="1287"/>
      <c r="E862" s="1287"/>
      <c r="F862" s="1287"/>
      <c r="G862" s="1287"/>
      <c r="H862" s="1287"/>
      <c r="I862" s="1287"/>
      <c r="J862" s="1287"/>
      <c r="K862" s="1287"/>
      <c r="O862" s="27"/>
      <c r="P862" s="27"/>
      <c r="Q862" s="620"/>
      <c r="R862" s="27"/>
      <c r="S862" s="27"/>
      <c r="T862" s="27"/>
    </row>
    <row r="863" spans="1:20" ht="50.1" hidden="1" customHeight="1">
      <c r="O863" s="27"/>
      <c r="P863" s="27"/>
      <c r="Q863" s="620"/>
      <c r="R863" s="27"/>
      <c r="S863" s="27"/>
      <c r="T863" s="27"/>
    </row>
    <row r="864" spans="1:20" ht="45" hidden="1" customHeight="1">
      <c r="O864" s="27"/>
      <c r="P864" s="27"/>
      <c r="Q864" s="620"/>
      <c r="R864" s="27"/>
      <c r="S864" s="27"/>
      <c r="T864" s="27"/>
    </row>
    <row r="865" spans="1:20" ht="17.100000000000001" hidden="1" customHeight="1">
      <c r="O865" s="27"/>
      <c r="P865" s="27"/>
      <c r="Q865" s="620"/>
      <c r="R865" s="27"/>
      <c r="S865" s="27"/>
      <c r="T865" s="27"/>
    </row>
    <row r="866" spans="1:20" ht="17.100000000000001" hidden="1" customHeight="1">
      <c r="O866" s="27"/>
      <c r="P866" s="27"/>
      <c r="Q866" s="620"/>
      <c r="R866" s="27"/>
      <c r="S866" s="27"/>
      <c r="T866" s="27"/>
    </row>
    <row r="867" spans="1:20" ht="17.100000000000001" hidden="1" customHeight="1">
      <c r="O867" s="27"/>
      <c r="P867" s="27"/>
      <c r="Q867" s="620"/>
      <c r="R867" s="27"/>
      <c r="S867" s="27"/>
      <c r="T867" s="27"/>
    </row>
    <row r="868" spans="1:20" ht="24.95" hidden="1" customHeight="1">
      <c r="O868" s="27"/>
      <c r="P868" s="27"/>
      <c r="Q868" s="620"/>
      <c r="R868" s="27"/>
      <c r="S868" s="27"/>
      <c r="T868" s="27"/>
    </row>
    <row r="869" spans="1:20" ht="24.95" hidden="1" customHeight="1" thickBot="1">
      <c r="C869" s="609"/>
      <c r="D869" s="609"/>
      <c r="E869" s="609"/>
      <c r="L869" s="1291"/>
      <c r="M869" s="1291"/>
      <c r="N869" s="1291"/>
      <c r="O869" s="27"/>
      <c r="P869" s="27"/>
      <c r="Q869" s="620"/>
      <c r="R869" s="27"/>
      <c r="S869" s="27"/>
      <c r="T869" s="27"/>
    </row>
    <row r="870" spans="1:20" ht="33.75" hidden="1" customHeight="1">
      <c r="C870" s="1204" t="s">
        <v>51</v>
      </c>
      <c r="D870" s="1204"/>
      <c r="E870" s="1204"/>
      <c r="F870" s="1204"/>
      <c r="H870" s="1243" t="s">
        <v>11</v>
      </c>
      <c r="I870" s="1244"/>
      <c r="J870" s="1244"/>
      <c r="K870" s="1245"/>
      <c r="L870" s="337"/>
      <c r="M870" s="337"/>
      <c r="N870" s="337"/>
      <c r="O870" s="27"/>
      <c r="P870" s="27"/>
      <c r="Q870" s="620"/>
      <c r="R870" s="27"/>
      <c r="S870" s="27"/>
      <c r="T870" s="27"/>
    </row>
    <row r="871" spans="1:20" ht="33.75" hidden="1" customHeight="1">
      <c r="C871" s="1204" t="s">
        <v>52</v>
      </c>
      <c r="D871" s="1204"/>
      <c r="E871" s="1204"/>
      <c r="F871" s="1204"/>
      <c r="G871" s="10"/>
      <c r="H871" s="1208" t="s">
        <v>235</v>
      </c>
      <c r="I871" s="1209"/>
      <c r="J871" s="1209"/>
      <c r="K871" s="1210"/>
      <c r="L871" s="336"/>
      <c r="M871" s="336"/>
      <c r="N871" s="336"/>
      <c r="O871" s="27"/>
      <c r="P871" s="27"/>
      <c r="Q871" s="620"/>
      <c r="R871" s="27"/>
      <c r="S871" s="27"/>
      <c r="T871" s="27"/>
    </row>
    <row r="872" spans="1:20" ht="33.75" hidden="1" customHeight="1">
      <c r="C872" s="1204" t="s">
        <v>50</v>
      </c>
      <c r="D872" s="1204"/>
      <c r="E872" s="1204"/>
      <c r="F872" s="1204"/>
      <c r="G872" s="44"/>
      <c r="H872" s="1211"/>
      <c r="I872" s="1212"/>
      <c r="J872" s="1212"/>
      <c r="K872" s="1213"/>
      <c r="L872" s="336"/>
      <c r="M872" s="336"/>
      <c r="N872" s="336"/>
      <c r="O872" s="27"/>
      <c r="P872" s="27"/>
      <c r="Q872" s="620"/>
      <c r="R872" s="27"/>
      <c r="S872" s="27"/>
      <c r="T872" s="27"/>
    </row>
    <row r="873" spans="1:20" ht="39.950000000000003" hidden="1" customHeight="1">
      <c r="A873" s="75"/>
      <c r="B873" s="75"/>
      <c r="C873" s="65"/>
      <c r="D873" s="65"/>
      <c r="E873" s="65"/>
      <c r="F873" s="10"/>
      <c r="G873" s="10"/>
      <c r="H873" s="1211" t="s">
        <v>22</v>
      </c>
      <c r="I873" s="1212"/>
      <c r="J873" s="1212"/>
      <c r="K873" s="477">
        <f>SUM(K885)</f>
        <v>1022683</v>
      </c>
      <c r="L873" s="336"/>
      <c r="M873" s="336"/>
      <c r="N873" s="86"/>
      <c r="O873" s="27"/>
      <c r="P873" s="27"/>
      <c r="Q873" s="620"/>
      <c r="R873" s="27"/>
      <c r="S873" s="27"/>
      <c r="T873" s="27"/>
    </row>
    <row r="874" spans="1:20" ht="40.5" hidden="1" customHeight="1" thickBot="1">
      <c r="A874" s="75"/>
      <c r="B874" s="75"/>
      <c r="C874" s="65"/>
      <c r="D874" s="65"/>
      <c r="E874" s="65"/>
      <c r="F874" s="10"/>
      <c r="G874" s="10"/>
      <c r="H874" s="1283" t="s">
        <v>13</v>
      </c>
      <c r="I874" s="1284"/>
      <c r="J874" s="1284"/>
      <c r="K874" s="1285"/>
      <c r="L874" s="336"/>
      <c r="M874" s="336"/>
      <c r="N874" s="336"/>
      <c r="O874" s="27"/>
      <c r="P874" s="27"/>
      <c r="Q874" s="620"/>
      <c r="R874" s="27"/>
      <c r="S874" s="27"/>
      <c r="T874" s="27"/>
    </row>
    <row r="875" spans="1:20" ht="17.100000000000001" hidden="1" customHeight="1">
      <c r="A875" s="75"/>
      <c r="B875" s="75"/>
      <c r="C875" s="65"/>
      <c r="D875" s="65"/>
      <c r="E875" s="65"/>
      <c r="F875" s="10"/>
      <c r="G875" s="10"/>
      <c r="H875" s="39"/>
      <c r="I875" s="39"/>
      <c r="J875" s="39"/>
      <c r="K875" s="39"/>
      <c r="L875" s="39"/>
      <c r="M875" s="39"/>
      <c r="N875" s="39"/>
      <c r="O875" s="27"/>
      <c r="P875" s="27"/>
      <c r="Q875" s="620"/>
      <c r="R875" s="27"/>
      <c r="S875" s="27"/>
      <c r="T875" s="27"/>
    </row>
    <row r="876" spans="1:20" ht="17.100000000000001" hidden="1" customHeight="1">
      <c r="A876" s="75"/>
      <c r="B876" s="75"/>
      <c r="C876" s="65"/>
      <c r="D876" s="65"/>
      <c r="E876" s="65"/>
      <c r="F876" s="10"/>
      <c r="G876" s="10"/>
      <c r="H876" s="10"/>
      <c r="I876" s="10"/>
      <c r="J876" s="10"/>
      <c r="K876" s="10"/>
      <c r="L876" s="10"/>
      <c r="M876" s="10"/>
      <c r="N876" s="10"/>
      <c r="O876" s="27"/>
      <c r="P876" s="27"/>
      <c r="Q876" s="620"/>
      <c r="R876" s="27"/>
      <c r="S876" s="27"/>
      <c r="T876" s="27"/>
    </row>
    <row r="877" spans="1:20" ht="30" hidden="1" customHeight="1">
      <c r="A877" s="75"/>
      <c r="B877" s="75"/>
      <c r="C877" s="65"/>
      <c r="D877" s="65"/>
      <c r="E877" s="65"/>
      <c r="F877" s="10"/>
      <c r="G877" s="10"/>
      <c r="H877" s="10"/>
      <c r="I877" s="10"/>
      <c r="J877" s="10"/>
      <c r="K877" s="10"/>
      <c r="L877" s="108"/>
      <c r="M877" s="109"/>
      <c r="N877" s="10"/>
      <c r="O877" s="27"/>
      <c r="P877" s="27"/>
      <c r="Q877" s="620"/>
      <c r="R877" s="27"/>
      <c r="S877" s="27"/>
      <c r="T877" s="27"/>
    </row>
    <row r="878" spans="1:20" ht="39" hidden="1" customHeight="1">
      <c r="A878" s="346" t="s">
        <v>1059</v>
      </c>
      <c r="B878" s="1226" t="s">
        <v>1037</v>
      </c>
      <c r="C878" s="1226"/>
      <c r="D878" s="1226"/>
      <c r="E878" s="1226"/>
      <c r="F878" s="1226"/>
      <c r="G878" s="1226"/>
      <c r="H878" s="1226"/>
      <c r="I878" s="1226"/>
      <c r="J878" s="1226"/>
      <c r="K878" s="1226"/>
      <c r="L878" s="346"/>
      <c r="M878" s="346"/>
      <c r="N878" s="346"/>
      <c r="O878" s="27"/>
      <c r="P878" s="27"/>
      <c r="Q878" s="620"/>
      <c r="R878" s="27"/>
      <c r="S878" s="27"/>
      <c r="T878" s="27"/>
    </row>
    <row r="879" spans="1:20" ht="17.100000000000001" hidden="1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27"/>
      <c r="P879" s="27"/>
      <c r="Q879" s="620"/>
      <c r="R879" s="27"/>
      <c r="S879" s="27"/>
      <c r="T879" s="27"/>
    </row>
    <row r="880" spans="1:20" ht="54.95" hidden="1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86"/>
      <c r="O880" s="27"/>
      <c r="P880" s="27"/>
      <c r="Q880" s="620"/>
      <c r="R880" s="27"/>
      <c r="S880" s="27"/>
      <c r="T880" s="27"/>
    </row>
    <row r="881" spans="1:20" s="500" customFormat="1" ht="90" hidden="1">
      <c r="A881" s="496" t="s">
        <v>14</v>
      </c>
      <c r="B881" s="497" t="s">
        <v>14</v>
      </c>
      <c r="C881" s="497" t="s">
        <v>37</v>
      </c>
      <c r="D881" s="497" t="s">
        <v>440</v>
      </c>
      <c r="E881" s="497" t="s">
        <v>16</v>
      </c>
      <c r="F881" s="497" t="s">
        <v>185</v>
      </c>
      <c r="G881" s="497" t="s">
        <v>178</v>
      </c>
      <c r="H881" s="497" t="s">
        <v>179</v>
      </c>
      <c r="I881" s="497" t="s">
        <v>180</v>
      </c>
      <c r="J881" s="497" t="s">
        <v>181</v>
      </c>
      <c r="K881" s="497" t="s">
        <v>200</v>
      </c>
      <c r="L881" s="496" t="s">
        <v>180</v>
      </c>
      <c r="M881" s="496" t="s">
        <v>181</v>
      </c>
      <c r="N881" s="496" t="s">
        <v>200</v>
      </c>
      <c r="O881" s="498"/>
      <c r="P881" s="498"/>
      <c r="Q881" s="622"/>
      <c r="R881" s="498"/>
      <c r="S881" s="498"/>
      <c r="T881" s="499"/>
    </row>
    <row r="882" spans="1:20" s="510" customFormat="1" ht="72" hidden="1" customHeight="1">
      <c r="A882" s="501"/>
      <c r="B882" s="502"/>
      <c r="C882" s="503" t="s">
        <v>273</v>
      </c>
      <c r="D882" s="504"/>
      <c r="E882" s="505"/>
      <c r="F882" s="504"/>
      <c r="G882" s="504"/>
      <c r="H882" s="504"/>
      <c r="I882" s="506">
        <f t="shared" ref="I882:N882" si="173">SUM(I883:I883)</f>
        <v>1022683</v>
      </c>
      <c r="J882" s="506">
        <f t="shared" si="173"/>
        <v>0</v>
      </c>
      <c r="K882" s="506">
        <f t="shared" si="173"/>
        <v>1022683</v>
      </c>
      <c r="L882" s="507">
        <f t="shared" si="173"/>
        <v>1022683</v>
      </c>
      <c r="M882" s="507">
        <f t="shared" si="173"/>
        <v>0</v>
      </c>
      <c r="N882" s="507">
        <f t="shared" si="173"/>
        <v>1022683</v>
      </c>
      <c r="O882" s="508"/>
      <c r="P882" s="508"/>
      <c r="Q882" s="623"/>
      <c r="R882" s="508"/>
      <c r="S882" s="508"/>
      <c r="T882" s="509"/>
    </row>
    <row r="883" spans="1:20" ht="54.75" hidden="1" customHeight="1">
      <c r="A883" s="273" t="s">
        <v>749</v>
      </c>
      <c r="B883" s="481" t="s">
        <v>1168</v>
      </c>
      <c r="C883" s="490" t="s">
        <v>236</v>
      </c>
      <c r="D883" s="483">
        <v>8100</v>
      </c>
      <c r="E883" s="484" t="s">
        <v>780</v>
      </c>
      <c r="F883" s="525" t="s">
        <v>237</v>
      </c>
      <c r="G883" s="488" t="s">
        <v>378</v>
      </c>
      <c r="H883" s="489">
        <v>1</v>
      </c>
      <c r="I883" s="473">
        <f>INT(L883*$Q$139)</f>
        <v>1022683</v>
      </c>
      <c r="J883" s="473">
        <f>INT(M883*$R$139)</f>
        <v>0</v>
      </c>
      <c r="K883" s="473">
        <f>SUM(I883:J883)</f>
        <v>1022683</v>
      </c>
      <c r="L883" s="167">
        <v>1022683</v>
      </c>
      <c r="M883" s="167"/>
      <c r="N883" s="167">
        <f>SUM(L883,M883)</f>
        <v>1022683</v>
      </c>
      <c r="O883" s="405">
        <f>18*13</f>
        <v>234</v>
      </c>
      <c r="P883" s="405"/>
    </row>
    <row r="884" spans="1:20" ht="24.75" hidden="1" customHeight="1">
      <c r="A884" s="83"/>
      <c r="B884" s="234"/>
      <c r="C884" s="266"/>
      <c r="D884" s="266"/>
      <c r="E884" s="266"/>
      <c r="F884" s="267"/>
      <c r="G884" s="267"/>
      <c r="H884" s="267"/>
      <c r="I884" s="397"/>
      <c r="J884" s="397"/>
      <c r="K884" s="397"/>
      <c r="L884" s="268"/>
      <c r="M884" s="269"/>
      <c r="N884" s="268"/>
      <c r="O884" s="27"/>
      <c r="P884" s="27"/>
      <c r="Q884" s="620"/>
      <c r="R884" s="27"/>
      <c r="S884" s="27"/>
      <c r="T884" s="27"/>
    </row>
    <row r="885" spans="1:20" s="472" customFormat="1" ht="45" hidden="1" customHeight="1">
      <c r="A885" s="478" t="s">
        <v>200</v>
      </c>
      <c r="B885" s="1263" t="s">
        <v>200</v>
      </c>
      <c r="C885" s="1264"/>
      <c r="D885" s="1264"/>
      <c r="E885" s="1264"/>
      <c r="F885" s="1264"/>
      <c r="G885" s="1264"/>
      <c r="H885" s="1265"/>
      <c r="I885" s="479">
        <f t="shared" ref="I885:N885" si="174">SUM(I882)</f>
        <v>1022683</v>
      </c>
      <c r="J885" s="479">
        <f t="shared" si="174"/>
        <v>0</v>
      </c>
      <c r="K885" s="479">
        <f t="shared" si="174"/>
        <v>1022683</v>
      </c>
      <c r="L885" s="480">
        <f t="shared" si="174"/>
        <v>1022683</v>
      </c>
      <c r="M885" s="480">
        <f t="shared" si="174"/>
        <v>0</v>
      </c>
      <c r="N885" s="480">
        <f t="shared" si="174"/>
        <v>1022683</v>
      </c>
      <c r="O885" s="470"/>
      <c r="P885" s="470"/>
      <c r="Q885" s="622"/>
      <c r="R885" s="470"/>
      <c r="S885" s="470"/>
      <c r="T885" s="471"/>
    </row>
    <row r="886" spans="1:20" ht="39.75" hidden="1" customHeight="1">
      <c r="C886" s="1296"/>
      <c r="D886" s="1296"/>
      <c r="E886" s="1296"/>
      <c r="F886" s="1296"/>
      <c r="G886" s="1296"/>
      <c r="H886" s="1296"/>
      <c r="I886" s="1296"/>
      <c r="J886" s="1296"/>
      <c r="K886" s="1296"/>
      <c r="L886" s="1296"/>
      <c r="M886" s="1296"/>
      <c r="N886" s="1296"/>
      <c r="O886" s="27"/>
      <c r="P886" s="27"/>
      <c r="Q886" s="620"/>
      <c r="R886" s="27"/>
      <c r="S886" s="27"/>
      <c r="T886" s="27"/>
    </row>
    <row r="887" spans="1:20" ht="30" hidden="1" customHeight="1">
      <c r="O887" s="27"/>
      <c r="P887" s="27"/>
      <c r="Q887" s="620"/>
      <c r="R887" s="27"/>
      <c r="S887" s="27"/>
      <c r="T887" s="27"/>
    </row>
    <row r="888" spans="1:20" ht="30" hidden="1" customHeight="1">
      <c r="O888" s="27"/>
      <c r="P888" s="27"/>
      <c r="Q888" s="620"/>
      <c r="R888" s="27"/>
      <c r="S888" s="27"/>
      <c r="T888" s="27"/>
    </row>
    <row r="889" spans="1:20" ht="30" hidden="1" customHeight="1">
      <c r="O889" s="27"/>
      <c r="P889" s="27"/>
      <c r="Q889" s="620"/>
      <c r="R889" s="27"/>
      <c r="S889" s="27"/>
      <c r="T889" s="27"/>
    </row>
    <row r="890" spans="1:20" ht="43.5" hidden="1" customHeight="1">
      <c r="O890" s="27"/>
      <c r="P890" s="27"/>
      <c r="Q890" s="620"/>
      <c r="R890" s="27"/>
      <c r="S890" s="27"/>
      <c r="T890" s="27"/>
    </row>
    <row r="891" spans="1:20" ht="30" hidden="1" customHeight="1">
      <c r="O891" s="27"/>
      <c r="P891" s="27"/>
      <c r="Q891" s="620"/>
      <c r="R891" s="27"/>
      <c r="S891" s="27"/>
      <c r="T891" s="27"/>
    </row>
    <row r="892" spans="1:20" ht="30" hidden="1" customHeight="1">
      <c r="O892" s="27"/>
      <c r="P892" s="27"/>
      <c r="Q892" s="620"/>
      <c r="R892" s="27"/>
      <c r="S892" s="27"/>
      <c r="T892" s="27"/>
    </row>
    <row r="893" spans="1:20" ht="17.100000000000001" hidden="1" customHeight="1">
      <c r="O893" s="27"/>
      <c r="P893" s="27"/>
      <c r="Q893" s="620"/>
      <c r="R893" s="27"/>
      <c r="S893" s="27"/>
      <c r="T893" s="27"/>
    </row>
    <row r="894" spans="1:20" ht="17.100000000000001" hidden="1" customHeight="1">
      <c r="O894" s="27"/>
      <c r="P894" s="27"/>
      <c r="Q894" s="620"/>
      <c r="R894" s="27"/>
      <c r="S894" s="27"/>
      <c r="T894" s="27"/>
    </row>
    <row r="895" spans="1:20" ht="17.100000000000001" hidden="1" customHeight="1">
      <c r="O895" s="27"/>
      <c r="P895" s="27"/>
      <c r="Q895" s="620"/>
      <c r="R895" s="27"/>
      <c r="S895" s="27"/>
      <c r="T895" s="27"/>
    </row>
    <row r="896" spans="1:20" ht="21.95" hidden="1" customHeight="1" thickBot="1">
      <c r="C896" s="609"/>
      <c r="D896" s="609"/>
      <c r="E896" s="609"/>
      <c r="L896" s="1291"/>
      <c r="M896" s="1291"/>
      <c r="N896" s="1291"/>
      <c r="O896" s="27"/>
      <c r="P896" s="27"/>
      <c r="Q896" s="620"/>
      <c r="R896" s="27"/>
      <c r="S896" s="27"/>
      <c r="T896" s="27"/>
    </row>
    <row r="897" spans="1:20" ht="30.75" hidden="1" customHeight="1">
      <c r="C897" s="1204" t="s">
        <v>51</v>
      </c>
      <c r="D897" s="1204"/>
      <c r="E897" s="1204"/>
      <c r="F897" s="1204"/>
      <c r="H897" s="1243" t="s">
        <v>11</v>
      </c>
      <c r="I897" s="1244"/>
      <c r="J897" s="1244"/>
      <c r="K897" s="1245"/>
      <c r="L897" s="337"/>
      <c r="M897" s="337"/>
      <c r="N897" s="337"/>
      <c r="O897" s="27"/>
      <c r="P897" s="27"/>
      <c r="Q897" s="620"/>
      <c r="R897" s="27"/>
      <c r="S897" s="27"/>
      <c r="T897" s="27"/>
    </row>
    <row r="898" spans="1:20" ht="30.75" hidden="1" customHeight="1">
      <c r="C898" s="1204" t="s">
        <v>52</v>
      </c>
      <c r="D898" s="1204"/>
      <c r="E898" s="1204"/>
      <c r="F898" s="1204"/>
      <c r="G898" s="10"/>
      <c r="H898" s="1208" t="s">
        <v>694</v>
      </c>
      <c r="I898" s="1209"/>
      <c r="J898" s="1209"/>
      <c r="K898" s="1210"/>
      <c r="L898" s="336"/>
      <c r="M898" s="336"/>
      <c r="N898" s="336"/>
      <c r="O898" s="27"/>
      <c r="P898" s="27"/>
      <c r="Q898" s="620"/>
      <c r="R898" s="27"/>
      <c r="S898" s="27"/>
      <c r="T898" s="27"/>
    </row>
    <row r="899" spans="1:20" ht="30.75" hidden="1" customHeight="1">
      <c r="C899" s="1204" t="s">
        <v>50</v>
      </c>
      <c r="D899" s="1204"/>
      <c r="E899" s="1204"/>
      <c r="F899" s="1204"/>
      <c r="G899" s="44"/>
      <c r="H899" s="1211"/>
      <c r="I899" s="1212"/>
      <c r="J899" s="1212"/>
      <c r="K899" s="1213"/>
      <c r="L899" s="336"/>
      <c r="M899" s="336"/>
      <c r="N899" s="336"/>
      <c r="O899" s="27"/>
      <c r="P899" s="27"/>
      <c r="Q899" s="620"/>
      <c r="R899" s="27"/>
      <c r="S899" s="27"/>
      <c r="T899" s="27"/>
    </row>
    <row r="900" spans="1:20" ht="33.75" hidden="1" customHeight="1">
      <c r="A900" s="75"/>
      <c r="B900" s="75"/>
      <c r="C900" s="65"/>
      <c r="D900" s="65"/>
      <c r="E900" s="65"/>
      <c r="F900" s="10"/>
      <c r="G900" s="10"/>
      <c r="H900" s="1211" t="s">
        <v>22</v>
      </c>
      <c r="I900" s="1212"/>
      <c r="J900" s="1212"/>
      <c r="K900" s="477">
        <f>SUM(K918)</f>
        <v>375000</v>
      </c>
      <c r="L900" s="336"/>
      <c r="M900" s="336"/>
      <c r="N900" s="86"/>
      <c r="O900" s="27"/>
      <c r="P900" s="27"/>
      <c r="Q900" s="620"/>
      <c r="R900" s="27"/>
      <c r="S900" s="27"/>
      <c r="T900" s="27"/>
    </row>
    <row r="901" spans="1:20" ht="42.75" hidden="1" customHeight="1" thickBot="1">
      <c r="A901" s="75"/>
      <c r="B901" s="75"/>
      <c r="C901" s="65"/>
      <c r="D901" s="65"/>
      <c r="E901" s="65"/>
      <c r="F901" s="10"/>
      <c r="G901" s="10"/>
      <c r="H901" s="1283" t="s">
        <v>13</v>
      </c>
      <c r="I901" s="1284"/>
      <c r="J901" s="1284"/>
      <c r="K901" s="1285"/>
      <c r="L901" s="336"/>
      <c r="M901" s="336"/>
      <c r="N901" s="336"/>
      <c r="O901" s="27"/>
      <c r="P901" s="27"/>
      <c r="Q901" s="620"/>
      <c r="R901" s="27"/>
      <c r="S901" s="27"/>
      <c r="T901" s="27"/>
    </row>
    <row r="902" spans="1:20" ht="17.100000000000001" hidden="1" customHeight="1">
      <c r="A902" s="75"/>
      <c r="B902" s="75"/>
      <c r="C902" s="65"/>
      <c r="D902" s="65"/>
      <c r="E902" s="65"/>
      <c r="F902" s="10"/>
      <c r="G902" s="10"/>
      <c r="H902" s="39"/>
      <c r="I902" s="39"/>
      <c r="J902" s="39"/>
      <c r="K902" s="39"/>
      <c r="L902" s="39"/>
      <c r="M902" s="39"/>
      <c r="N902" s="39"/>
      <c r="O902" s="27"/>
      <c r="P902" s="27"/>
      <c r="Q902" s="620"/>
      <c r="R902" s="27"/>
      <c r="S902" s="27"/>
      <c r="T902" s="27"/>
    </row>
    <row r="903" spans="1:20" ht="17.100000000000001" hidden="1" customHeight="1">
      <c r="A903" s="75"/>
      <c r="B903" s="75"/>
      <c r="C903" s="65"/>
      <c r="D903" s="65"/>
      <c r="E903" s="65"/>
      <c r="F903" s="10"/>
      <c r="G903" s="10"/>
      <c r="H903" s="10"/>
      <c r="I903" s="10"/>
      <c r="J903" s="10"/>
      <c r="K903" s="10"/>
      <c r="L903" s="10"/>
      <c r="M903" s="10"/>
      <c r="N903" s="10"/>
      <c r="O903" s="27"/>
      <c r="P903" s="27"/>
      <c r="Q903" s="620"/>
      <c r="R903" s="27"/>
      <c r="S903" s="27"/>
      <c r="T903" s="27"/>
    </row>
    <row r="904" spans="1:20" ht="20.100000000000001" hidden="1" customHeight="1">
      <c r="A904" s="75"/>
      <c r="B904" s="75"/>
      <c r="C904" s="65"/>
      <c r="D904" s="65"/>
      <c r="E904" s="65"/>
      <c r="F904" s="10"/>
      <c r="G904" s="10"/>
      <c r="H904" s="10"/>
      <c r="I904" s="10"/>
      <c r="J904" s="10"/>
      <c r="K904" s="10"/>
      <c r="L904" s="10"/>
      <c r="M904" s="10"/>
      <c r="N904" s="10"/>
      <c r="O904" s="27"/>
      <c r="P904" s="27"/>
      <c r="Q904" s="620"/>
      <c r="R904" s="27"/>
      <c r="S904" s="27"/>
      <c r="T904" s="27"/>
    </row>
    <row r="905" spans="1:20" ht="20.100000000000001" hidden="1" customHeight="1">
      <c r="A905" s="75"/>
      <c r="B905" s="75"/>
      <c r="C905" s="65"/>
      <c r="D905" s="65"/>
      <c r="E905" s="65"/>
      <c r="F905" s="10"/>
      <c r="G905" s="10"/>
      <c r="H905" s="10"/>
      <c r="I905" s="10"/>
      <c r="J905" s="10"/>
      <c r="K905" s="10"/>
      <c r="L905" s="10"/>
      <c r="M905" s="10"/>
      <c r="N905" s="10"/>
      <c r="O905" s="27"/>
      <c r="P905" s="27"/>
      <c r="Q905" s="620"/>
      <c r="R905" s="27"/>
      <c r="S905" s="27"/>
      <c r="T905" s="27"/>
    </row>
    <row r="906" spans="1:20" ht="20.100000000000001" hidden="1" customHeight="1">
      <c r="A906" s="75"/>
      <c r="B906" s="75"/>
      <c r="C906" s="65"/>
      <c r="D906" s="65"/>
      <c r="E906" s="65"/>
      <c r="F906" s="10"/>
      <c r="G906" s="10"/>
      <c r="H906" s="10"/>
      <c r="I906" s="10"/>
      <c r="J906" s="10"/>
      <c r="K906" s="10"/>
      <c r="L906" s="10"/>
      <c r="M906" s="10"/>
      <c r="N906" s="10"/>
      <c r="O906" s="27"/>
      <c r="P906" s="27"/>
      <c r="Q906" s="620"/>
      <c r="R906" s="27"/>
      <c r="S906" s="27"/>
      <c r="T906" s="27"/>
    </row>
    <row r="907" spans="1:20" ht="30" hidden="1" customHeight="1">
      <c r="A907" s="75"/>
      <c r="B907" s="75"/>
      <c r="C907" s="65"/>
      <c r="D907" s="65"/>
      <c r="E907" s="65"/>
      <c r="F907" s="10"/>
      <c r="G907" s="10"/>
      <c r="H907" s="10"/>
      <c r="I907" s="10"/>
      <c r="J907" s="10"/>
      <c r="K907" s="10"/>
      <c r="L907" s="10"/>
      <c r="M907" s="10"/>
      <c r="N907" s="10"/>
      <c r="O907" s="27"/>
      <c r="P907" s="27"/>
      <c r="Q907" s="620"/>
      <c r="R907" s="27"/>
      <c r="S907" s="27"/>
      <c r="T907" s="27"/>
    </row>
    <row r="908" spans="1:20" ht="39.950000000000003" hidden="1" customHeight="1">
      <c r="A908" s="346"/>
      <c r="B908" s="1226" t="s">
        <v>1037</v>
      </c>
      <c r="C908" s="1226"/>
      <c r="D908" s="1226"/>
      <c r="E908" s="1226"/>
      <c r="F908" s="1226"/>
      <c r="G908" s="1226"/>
      <c r="H908" s="1226"/>
      <c r="I908" s="1226"/>
      <c r="J908" s="1226"/>
      <c r="K908" s="1226"/>
      <c r="L908" s="346"/>
      <c r="M908" s="346"/>
      <c r="N908" s="346"/>
      <c r="O908" s="27"/>
      <c r="P908" s="27"/>
      <c r="Q908" s="620"/>
      <c r="R908" s="27"/>
      <c r="S908" s="27"/>
      <c r="T908" s="27"/>
    </row>
    <row r="909" spans="1:20" ht="54.95" hidden="1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27"/>
      <c r="P909" s="27"/>
      <c r="Q909" s="620"/>
      <c r="R909" s="27"/>
      <c r="S909" s="27"/>
      <c r="T909" s="27"/>
    </row>
    <row r="910" spans="1:20" s="500" customFormat="1" ht="90" hidden="1">
      <c r="A910" s="496" t="s">
        <v>14</v>
      </c>
      <c r="B910" s="497" t="s">
        <v>14</v>
      </c>
      <c r="C910" s="497" t="s">
        <v>37</v>
      </c>
      <c r="D910" s="497" t="s">
        <v>440</v>
      </c>
      <c r="E910" s="497" t="s">
        <v>16</v>
      </c>
      <c r="F910" s="497" t="s">
        <v>185</v>
      </c>
      <c r="G910" s="497" t="s">
        <v>178</v>
      </c>
      <c r="H910" s="497" t="s">
        <v>179</v>
      </c>
      <c r="I910" s="497" t="s">
        <v>180</v>
      </c>
      <c r="J910" s="497" t="s">
        <v>181</v>
      </c>
      <c r="K910" s="497" t="s">
        <v>200</v>
      </c>
      <c r="L910" s="496" t="s">
        <v>180</v>
      </c>
      <c r="M910" s="496" t="s">
        <v>181</v>
      </c>
      <c r="N910" s="496" t="s">
        <v>200</v>
      </c>
      <c r="O910" s="498"/>
      <c r="P910" s="498"/>
      <c r="Q910" s="622"/>
      <c r="R910" s="498"/>
      <c r="S910" s="498"/>
      <c r="T910" s="499"/>
    </row>
    <row r="911" spans="1:20" s="510" customFormat="1" ht="72" hidden="1" customHeight="1">
      <c r="A911" s="501"/>
      <c r="B911" s="502"/>
      <c r="C911" s="503" t="s">
        <v>273</v>
      </c>
      <c r="D911" s="504"/>
      <c r="E911" s="505"/>
      <c r="F911" s="504"/>
      <c r="G911" s="504"/>
      <c r="H911" s="504"/>
      <c r="I911" s="506">
        <f>SUM(I912:I915)</f>
        <v>375000</v>
      </c>
      <c r="J911" s="506"/>
      <c r="K911" s="506">
        <f>SUM(K912:K915)</f>
        <v>375000</v>
      </c>
      <c r="L911" s="507">
        <f>SUM(L912:L915)</f>
        <v>375000</v>
      </c>
      <c r="M911" s="507"/>
      <c r="N911" s="507">
        <f>SUM(N912:N915)</f>
        <v>375000</v>
      </c>
      <c r="O911" s="508"/>
      <c r="P911" s="508"/>
      <c r="Q911" s="623"/>
      <c r="R911" s="508"/>
      <c r="S911" s="508"/>
      <c r="T911" s="509"/>
    </row>
    <row r="912" spans="1:20" ht="54.75" hidden="1" customHeight="1">
      <c r="A912" s="273" t="s">
        <v>594</v>
      </c>
      <c r="B912" s="481" t="s">
        <v>1170</v>
      </c>
      <c r="C912" s="490" t="s">
        <v>309</v>
      </c>
      <c r="D912" s="483">
        <v>8100</v>
      </c>
      <c r="E912" s="484">
        <v>108288</v>
      </c>
      <c r="F912" s="525" t="s">
        <v>149</v>
      </c>
      <c r="G912" s="488" t="s">
        <v>182</v>
      </c>
      <c r="H912" s="489">
        <v>10</v>
      </c>
      <c r="I912" s="473">
        <f>INT(L912*$Q$139)</f>
        <v>25000</v>
      </c>
      <c r="J912" s="473">
        <f>INT(M912*$R$139)</f>
        <v>0</v>
      </c>
      <c r="K912" s="473">
        <f>SUM(I912:J912)</f>
        <v>25000</v>
      </c>
      <c r="L912" s="167">
        <v>25000</v>
      </c>
      <c r="M912" s="167"/>
      <c r="N912" s="167">
        <f>SUM(L912,M912)</f>
        <v>25000</v>
      </c>
      <c r="O912" s="405"/>
      <c r="P912" s="405"/>
    </row>
    <row r="913" spans="1:20" ht="54.75" hidden="1" customHeight="1">
      <c r="A913" s="273" t="s">
        <v>595</v>
      </c>
      <c r="B913" s="481" t="s">
        <v>1025</v>
      </c>
      <c r="C913" s="490" t="s">
        <v>1169</v>
      </c>
      <c r="D913" s="483">
        <v>8100</v>
      </c>
      <c r="E913" s="484">
        <v>108288</v>
      </c>
      <c r="F913" s="525" t="s">
        <v>149</v>
      </c>
      <c r="G913" s="488" t="s">
        <v>325</v>
      </c>
      <c r="H913" s="489">
        <v>4</v>
      </c>
      <c r="I913" s="473">
        <f>INT(L913*$Q$139)</f>
        <v>150000</v>
      </c>
      <c r="J913" s="473">
        <f>INT(M913*$R$139)</f>
        <v>0</v>
      </c>
      <c r="K913" s="473">
        <f>SUM(I913:J913)</f>
        <v>150000</v>
      </c>
      <c r="L913" s="167">
        <v>150000</v>
      </c>
      <c r="M913" s="167"/>
      <c r="N913" s="167">
        <f>SUM(L913,M913)</f>
        <v>150000</v>
      </c>
      <c r="O913" s="405"/>
      <c r="P913" s="405"/>
    </row>
    <row r="914" spans="1:20" ht="54.75" hidden="1" customHeight="1">
      <c r="A914" s="273" t="s">
        <v>596</v>
      </c>
      <c r="B914" s="481" t="s">
        <v>1026</v>
      </c>
      <c r="C914" s="490" t="s">
        <v>326</v>
      </c>
      <c r="D914" s="483">
        <v>8100</v>
      </c>
      <c r="E914" s="484">
        <v>108288</v>
      </c>
      <c r="F914" s="525" t="s">
        <v>149</v>
      </c>
      <c r="G914" s="488" t="s">
        <v>325</v>
      </c>
      <c r="H914" s="489">
        <v>5</v>
      </c>
      <c r="I914" s="473">
        <f>INT(L914*$Q$139)</f>
        <v>110000</v>
      </c>
      <c r="J914" s="473">
        <f>INT(M914*$R$139)</f>
        <v>0</v>
      </c>
      <c r="K914" s="473">
        <f>SUM(I914:J914)</f>
        <v>110000</v>
      </c>
      <c r="L914" s="167">
        <v>110000</v>
      </c>
      <c r="M914" s="167"/>
      <c r="N914" s="167">
        <f>SUM(L914,M914)</f>
        <v>110000</v>
      </c>
      <c r="O914" s="405"/>
      <c r="P914" s="405"/>
    </row>
    <row r="915" spans="1:20" ht="54.75" hidden="1" customHeight="1">
      <c r="A915" s="273" t="s">
        <v>678</v>
      </c>
      <c r="B915" s="481" t="s">
        <v>1171</v>
      </c>
      <c r="C915" s="490" t="s">
        <v>327</v>
      </c>
      <c r="D915" s="483">
        <v>8100</v>
      </c>
      <c r="E915" s="484">
        <v>108288</v>
      </c>
      <c r="F915" s="525" t="s">
        <v>149</v>
      </c>
      <c r="G915" s="488" t="s">
        <v>328</v>
      </c>
      <c r="H915" s="489">
        <v>2</v>
      </c>
      <c r="I915" s="473">
        <f>INT(L915*$Q$139)</f>
        <v>90000</v>
      </c>
      <c r="J915" s="473">
        <f>INT(M915*$R$139)</f>
        <v>0</v>
      </c>
      <c r="K915" s="473">
        <f>SUM(I915:J915)</f>
        <v>90000</v>
      </c>
      <c r="L915" s="167">
        <v>90000</v>
      </c>
      <c r="M915" s="167"/>
      <c r="N915" s="167">
        <f>SUM(L915,M915)</f>
        <v>90000</v>
      </c>
      <c r="O915" s="405"/>
      <c r="P915" s="405"/>
    </row>
    <row r="916" spans="1:20" ht="45.75" hidden="1" customHeight="1">
      <c r="A916" s="39"/>
      <c r="B916" s="138"/>
      <c r="C916" s="139" t="s">
        <v>274</v>
      </c>
      <c r="D916" s="139"/>
      <c r="E916" s="139"/>
      <c r="F916" s="138"/>
      <c r="G916" s="143"/>
      <c r="H916" s="135"/>
      <c r="I916" s="385"/>
      <c r="J916" s="385">
        <f>SUM(J917)</f>
        <v>0</v>
      </c>
      <c r="K916" s="385">
        <f>SUM(K917)</f>
        <v>0</v>
      </c>
      <c r="L916" s="385">
        <f>SUM(L917)</f>
        <v>0</v>
      </c>
      <c r="M916" s="385">
        <f>SUM(M917)</f>
        <v>0</v>
      </c>
      <c r="N916" s="385">
        <f>SUM(N917)</f>
        <v>0</v>
      </c>
      <c r="O916" s="27"/>
      <c r="P916" s="27"/>
      <c r="Q916" s="620"/>
      <c r="R916" s="27"/>
      <c r="S916" s="27"/>
      <c r="T916" s="27"/>
    </row>
    <row r="917" spans="1:20" ht="45" hidden="1" customHeight="1">
      <c r="A917" s="252" t="s">
        <v>847</v>
      </c>
      <c r="B917" s="252" t="s">
        <v>847</v>
      </c>
      <c r="C917" s="250" t="s">
        <v>813</v>
      </c>
      <c r="D917" s="228">
        <v>112</v>
      </c>
      <c r="E917" s="229" t="s">
        <v>795</v>
      </c>
      <c r="F917" s="249" t="s">
        <v>149</v>
      </c>
      <c r="G917" s="248" t="s">
        <v>142</v>
      </c>
      <c r="H917" s="249"/>
      <c r="I917" s="386">
        <f>INT(L917*$Q$139)</f>
        <v>0</v>
      </c>
      <c r="J917" s="441">
        <f>INT(M917*$R$139)</f>
        <v>0</v>
      </c>
      <c r="K917" s="386">
        <f>SUM(I917:J917)</f>
        <v>0</v>
      </c>
      <c r="L917" s="174"/>
      <c r="M917" s="174"/>
      <c r="N917" s="174">
        <f>SUM(L917,M917)</f>
        <v>0</v>
      </c>
      <c r="O917" s="27"/>
      <c r="P917" s="27"/>
      <c r="Q917" s="620"/>
      <c r="R917" s="27"/>
      <c r="S917" s="27"/>
      <c r="T917" s="27"/>
    </row>
    <row r="918" spans="1:20" s="472" customFormat="1" ht="45" hidden="1" customHeight="1">
      <c r="A918" s="478" t="s">
        <v>200</v>
      </c>
      <c r="B918" s="1263" t="s">
        <v>200</v>
      </c>
      <c r="C918" s="1264"/>
      <c r="D918" s="1264"/>
      <c r="E918" s="1264"/>
      <c r="F918" s="1264"/>
      <c r="G918" s="1264"/>
      <c r="H918" s="1265"/>
      <c r="I918" s="479">
        <f t="shared" ref="I918:N918" si="175">SUM(I911,I916)</f>
        <v>375000</v>
      </c>
      <c r="J918" s="479">
        <f t="shared" si="175"/>
        <v>0</v>
      </c>
      <c r="K918" s="479">
        <f t="shared" si="175"/>
        <v>375000</v>
      </c>
      <c r="L918" s="480">
        <f t="shared" si="175"/>
        <v>375000</v>
      </c>
      <c r="M918" s="480">
        <f t="shared" si="175"/>
        <v>0</v>
      </c>
      <c r="N918" s="480">
        <f t="shared" si="175"/>
        <v>375000</v>
      </c>
      <c r="O918" s="470"/>
      <c r="P918" s="470"/>
      <c r="Q918" s="622"/>
      <c r="R918" s="470"/>
      <c r="S918" s="470"/>
      <c r="T918" s="471"/>
    </row>
    <row r="919" spans="1:20" ht="63" hidden="1" customHeight="1">
      <c r="B919" s="1287" t="s">
        <v>1283</v>
      </c>
      <c r="C919" s="1287"/>
      <c r="D919" s="1287"/>
      <c r="E919" s="1287"/>
      <c r="F919" s="1287"/>
      <c r="G919" s="1287"/>
      <c r="H919" s="1287"/>
      <c r="I919" s="1287"/>
      <c r="J919" s="1287"/>
      <c r="K919" s="1287"/>
      <c r="O919" s="27"/>
      <c r="P919" s="27"/>
      <c r="Q919" s="620"/>
      <c r="R919" s="27"/>
      <c r="S919" s="27"/>
      <c r="T919" s="27"/>
    </row>
    <row r="920" spans="1:20" ht="45" hidden="1" customHeight="1">
      <c r="O920" s="27"/>
      <c r="P920" s="27"/>
      <c r="Q920" s="620"/>
      <c r="R920" s="27"/>
      <c r="S920" s="27"/>
      <c r="T920" s="27"/>
    </row>
    <row r="921" spans="1:20" ht="17.100000000000001" hidden="1" customHeight="1">
      <c r="O921" s="27"/>
      <c r="P921" s="27"/>
      <c r="Q921" s="620"/>
      <c r="R921" s="27"/>
      <c r="S921" s="27"/>
      <c r="T921" s="27"/>
    </row>
    <row r="922" spans="1:20" ht="17.100000000000001" hidden="1" customHeight="1">
      <c r="O922" s="27"/>
      <c r="P922" s="27"/>
      <c r="Q922" s="620"/>
      <c r="R922" s="27"/>
      <c r="S922" s="27"/>
      <c r="T922" s="27"/>
    </row>
    <row r="923" spans="1:20" ht="17.100000000000001" hidden="1" customHeight="1">
      <c r="O923" s="27"/>
      <c r="P923" s="27"/>
      <c r="Q923" s="620"/>
      <c r="R923" s="27"/>
      <c r="S923" s="27"/>
      <c r="T923" s="27"/>
    </row>
    <row r="924" spans="1:20" ht="20.100000000000001" hidden="1" customHeight="1" thickBot="1">
      <c r="A924" s="614"/>
      <c r="B924" s="614"/>
      <c r="C924" s="614"/>
      <c r="D924" s="614"/>
      <c r="E924" s="614"/>
      <c r="F924" s="614"/>
      <c r="G924" s="97"/>
      <c r="H924" s="97"/>
      <c r="I924" s="97"/>
      <c r="J924" s="97"/>
      <c r="K924" s="97"/>
      <c r="L924" s="614"/>
      <c r="M924" s="614"/>
      <c r="N924" s="614"/>
      <c r="O924" s="27"/>
      <c r="P924" s="27"/>
      <c r="Q924" s="620"/>
      <c r="R924" s="27"/>
      <c r="S924" s="27"/>
      <c r="T924" s="27"/>
    </row>
    <row r="925" spans="1:20" ht="34.5" hidden="1" customHeight="1">
      <c r="C925" s="1204" t="s">
        <v>51</v>
      </c>
      <c r="D925" s="1204"/>
      <c r="E925" s="1204"/>
      <c r="F925" s="1204"/>
      <c r="H925" s="1243" t="s">
        <v>11</v>
      </c>
      <c r="I925" s="1244"/>
      <c r="J925" s="1244"/>
      <c r="K925" s="1245"/>
      <c r="L925" s="337"/>
      <c r="M925" s="337"/>
      <c r="N925" s="337"/>
      <c r="O925" s="27"/>
      <c r="P925" s="27"/>
      <c r="Q925" s="620"/>
      <c r="R925" s="27"/>
      <c r="S925" s="27"/>
      <c r="T925" s="27"/>
    </row>
    <row r="926" spans="1:20" ht="34.5" hidden="1" customHeight="1">
      <c r="C926" s="1204" t="s">
        <v>52</v>
      </c>
      <c r="D926" s="1204"/>
      <c r="E926" s="1204"/>
      <c r="F926" s="1204"/>
      <c r="H926" s="1208" t="s">
        <v>21</v>
      </c>
      <c r="I926" s="1209"/>
      <c r="J926" s="1209"/>
      <c r="K926" s="1210"/>
      <c r="L926" s="336"/>
      <c r="M926" s="336"/>
      <c r="N926" s="336"/>
      <c r="O926" s="27"/>
      <c r="P926" s="27"/>
      <c r="Q926" s="620"/>
      <c r="R926" s="27"/>
      <c r="S926" s="27"/>
      <c r="T926" s="27"/>
    </row>
    <row r="927" spans="1:20" ht="34.5" hidden="1" customHeight="1">
      <c r="C927" s="1204" t="s">
        <v>50</v>
      </c>
      <c r="D927" s="1204"/>
      <c r="E927" s="1204"/>
      <c r="F927" s="1204"/>
      <c r="H927" s="1211"/>
      <c r="I927" s="1212"/>
      <c r="J927" s="1212"/>
      <c r="K927" s="1213"/>
      <c r="L927" s="336"/>
      <c r="M927" s="336"/>
      <c r="N927" s="336"/>
      <c r="O927" s="27"/>
      <c r="P927" s="27"/>
      <c r="Q927" s="620"/>
      <c r="R927" s="27"/>
      <c r="S927" s="27"/>
      <c r="T927" s="27"/>
    </row>
    <row r="928" spans="1:20" ht="39.950000000000003" hidden="1" customHeight="1">
      <c r="C928" s="1252"/>
      <c r="D928" s="1252"/>
      <c r="E928" s="1252"/>
      <c r="F928" s="1252"/>
      <c r="G928" s="44"/>
      <c r="H928" s="1211" t="s">
        <v>22</v>
      </c>
      <c r="I928" s="1212"/>
      <c r="J928" s="1212"/>
      <c r="K928" s="477">
        <f>K975</f>
        <v>14317270</v>
      </c>
      <c r="L928" s="336"/>
      <c r="M928" s="336"/>
      <c r="N928" s="86"/>
      <c r="O928" s="27"/>
      <c r="P928" s="27"/>
      <c r="Q928" s="620"/>
      <c r="R928" s="27"/>
      <c r="S928" s="27"/>
      <c r="T928" s="27"/>
    </row>
    <row r="929" spans="1:20" ht="46.5" hidden="1" customHeight="1" thickBot="1">
      <c r="A929" s="75"/>
      <c r="B929" s="75"/>
      <c r="C929" s="65"/>
      <c r="D929" s="154"/>
      <c r="E929" s="65"/>
      <c r="F929" s="10"/>
      <c r="G929" s="10"/>
      <c r="H929" s="1283" t="s">
        <v>13</v>
      </c>
      <c r="I929" s="1284"/>
      <c r="J929" s="1284"/>
      <c r="K929" s="1285"/>
      <c r="L929" s="336"/>
      <c r="M929" s="336"/>
      <c r="N929" s="336"/>
      <c r="O929" s="27"/>
      <c r="P929" s="27"/>
      <c r="Q929" s="620"/>
      <c r="R929" s="27"/>
      <c r="S929" s="27"/>
      <c r="T929" s="27"/>
    </row>
    <row r="930" spans="1:20" ht="17.100000000000001" hidden="1" customHeight="1">
      <c r="A930" s="75"/>
      <c r="B930" s="75"/>
      <c r="C930" s="155"/>
      <c r="D930" s="65"/>
      <c r="E930" s="65"/>
      <c r="F930" s="10"/>
      <c r="G930" s="10"/>
      <c r="H930" s="20"/>
      <c r="I930" s="20"/>
      <c r="J930" s="20"/>
      <c r="K930" s="20"/>
      <c r="L930" s="20"/>
      <c r="M930" s="20"/>
      <c r="N930" s="20"/>
      <c r="O930" s="153"/>
      <c r="P930" s="27"/>
      <c r="Q930" s="620"/>
      <c r="R930" s="27"/>
      <c r="S930" s="27"/>
      <c r="T930" s="27"/>
    </row>
    <row r="931" spans="1:20" ht="30" hidden="1" customHeight="1">
      <c r="A931" s="75"/>
      <c r="B931" s="75"/>
      <c r="C931" s="65"/>
      <c r="D931" s="65"/>
      <c r="E931" s="65"/>
      <c r="F931" s="10"/>
      <c r="G931" s="10"/>
      <c r="H931" s="20"/>
      <c r="I931" s="20"/>
      <c r="J931" s="20"/>
      <c r="K931" s="20"/>
      <c r="L931" s="20"/>
      <c r="M931" s="20"/>
      <c r="N931" s="20"/>
      <c r="O931" s="27"/>
      <c r="P931" s="27"/>
      <c r="Q931" s="620"/>
      <c r="R931" s="27"/>
      <c r="S931" s="27"/>
      <c r="T931" s="27"/>
    </row>
    <row r="932" spans="1:20" ht="39.950000000000003" hidden="1" customHeight="1">
      <c r="A932" s="346"/>
      <c r="B932" s="1226" t="s">
        <v>1037</v>
      </c>
      <c r="C932" s="1226"/>
      <c r="D932" s="1226"/>
      <c r="E932" s="1226"/>
      <c r="F932" s="1226"/>
      <c r="G932" s="1226"/>
      <c r="H932" s="1226"/>
      <c r="I932" s="1226"/>
      <c r="J932" s="1226"/>
      <c r="K932" s="1226"/>
      <c r="L932" s="346"/>
      <c r="M932" s="346"/>
      <c r="N932" s="346"/>
      <c r="O932" s="27"/>
      <c r="P932" s="27"/>
      <c r="Q932" s="620">
        <v>40</v>
      </c>
      <c r="R932" s="27"/>
      <c r="S932" s="27"/>
      <c r="T932" s="27"/>
    </row>
    <row r="933" spans="1:20" ht="20.100000000000001" hidden="1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27"/>
      <c r="P933" s="27"/>
      <c r="Q933" s="620"/>
      <c r="R933" s="27"/>
      <c r="S933" s="27"/>
      <c r="T933" s="27"/>
    </row>
    <row r="934" spans="1:20" s="500" customFormat="1" ht="90">
      <c r="A934" s="496" t="s">
        <v>14</v>
      </c>
      <c r="B934" s="497" t="s">
        <v>14</v>
      </c>
      <c r="C934" s="497" t="s">
        <v>37</v>
      </c>
      <c r="D934" s="497" t="s">
        <v>440</v>
      </c>
      <c r="E934" s="497" t="s">
        <v>16</v>
      </c>
      <c r="F934" s="497" t="s">
        <v>185</v>
      </c>
      <c r="G934" s="497" t="s">
        <v>178</v>
      </c>
      <c r="H934" s="497" t="s">
        <v>179</v>
      </c>
      <c r="I934" s="497" t="s">
        <v>180</v>
      </c>
      <c r="J934" s="497" t="s">
        <v>1275</v>
      </c>
      <c r="K934" s="497" t="s">
        <v>1330</v>
      </c>
      <c r="L934" s="497" t="s">
        <v>1331</v>
      </c>
      <c r="M934" s="497" t="s">
        <v>1332</v>
      </c>
      <c r="N934" s="497" t="s">
        <v>1333</v>
      </c>
      <c r="O934" s="497" t="s">
        <v>1334</v>
      </c>
      <c r="P934" s="498"/>
      <c r="Q934" s="622"/>
      <c r="R934" s="498"/>
      <c r="S934" s="498"/>
      <c r="T934" s="499"/>
    </row>
    <row r="935" spans="1:20" s="579" customFormat="1" ht="46.5" customHeight="1">
      <c r="A935" s="572"/>
      <c r="B935" s="572"/>
      <c r="C935" s="573" t="s">
        <v>106</v>
      </c>
      <c r="D935" s="574"/>
      <c r="E935" s="574"/>
      <c r="F935" s="575" t="s">
        <v>107</v>
      </c>
      <c r="G935" s="576"/>
      <c r="H935" s="576"/>
      <c r="I935" s="577">
        <f t="shared" ref="I935:N935" si="176">SUM(I936,I939,I943,I946)</f>
        <v>925819</v>
      </c>
      <c r="J935" s="577">
        <f t="shared" si="176"/>
        <v>170975</v>
      </c>
      <c r="K935" s="577">
        <f t="shared" si="176"/>
        <v>1096794</v>
      </c>
      <c r="L935" s="578">
        <f t="shared" si="176"/>
        <v>925819</v>
      </c>
      <c r="M935" s="578">
        <f t="shared" si="176"/>
        <v>170975</v>
      </c>
      <c r="N935" s="578">
        <f t="shared" si="176"/>
        <v>1096794</v>
      </c>
      <c r="O935" s="644">
        <f>(J935/100)*40</f>
        <v>68390</v>
      </c>
      <c r="Q935" s="635">
        <f>($Q$932*J935)/100</f>
        <v>68390</v>
      </c>
    </row>
    <row r="936" spans="1:20" s="510" customFormat="1" ht="72" hidden="1" customHeight="1">
      <c r="A936" s="501"/>
      <c r="B936" s="502"/>
      <c r="C936" s="503" t="s">
        <v>310</v>
      </c>
      <c r="D936" s="504"/>
      <c r="E936" s="505"/>
      <c r="F936" s="504"/>
      <c r="G936" s="504"/>
      <c r="H936" s="504"/>
      <c r="I936" s="506">
        <f>SUM(I937:I938)</f>
        <v>60511</v>
      </c>
      <c r="J936" s="506">
        <f>SUM(J937:J938)</f>
        <v>160509</v>
      </c>
      <c r="K936" s="506">
        <f>SUM(I936,J936)</f>
        <v>221020</v>
      </c>
      <c r="L936" s="507">
        <f>SUM(L937:L938)</f>
        <v>60511</v>
      </c>
      <c r="M936" s="507">
        <f>SUM(M937:M938)</f>
        <v>160509</v>
      </c>
      <c r="N936" s="507">
        <f>L936+M936</f>
        <v>221020</v>
      </c>
      <c r="O936" s="640">
        <f t="shared" ref="O936:O999" si="177">(J936/100)*40</f>
        <v>64203.6</v>
      </c>
      <c r="P936" s="508"/>
      <c r="Q936" s="635">
        <f t="shared" ref="Q936:Q999" si="178">($Q$932*J936)/100</f>
        <v>64203.6</v>
      </c>
      <c r="R936" s="508"/>
      <c r="S936" s="508"/>
      <c r="T936" s="509"/>
    </row>
    <row r="937" spans="1:20" ht="54.75" customHeight="1">
      <c r="A937" s="273" t="s">
        <v>616</v>
      </c>
      <c r="B937" s="481" t="s">
        <v>1027</v>
      </c>
      <c r="C937" s="490" t="s">
        <v>681</v>
      </c>
      <c r="D937" s="483">
        <v>8100</v>
      </c>
      <c r="E937" s="484">
        <v>108288</v>
      </c>
      <c r="F937" s="526" t="s">
        <v>343</v>
      </c>
      <c r="G937" s="488" t="s">
        <v>725</v>
      </c>
      <c r="H937" s="489">
        <v>1</v>
      </c>
      <c r="I937" s="473">
        <f>INT(L937*$Q$139)</f>
        <v>60511</v>
      </c>
      <c r="J937" s="473">
        <f>INT(M937*$R$139)</f>
        <v>160509</v>
      </c>
      <c r="K937" s="473">
        <f>SUM(I937:J937)</f>
        <v>221020</v>
      </c>
      <c r="L937" s="167">
        <v>60511</v>
      </c>
      <c r="M937" s="167">
        <v>160509</v>
      </c>
      <c r="N937" s="167">
        <f>SUM(L937,M937)</f>
        <v>221020</v>
      </c>
      <c r="O937" s="640">
        <f t="shared" si="177"/>
        <v>64203.6</v>
      </c>
      <c r="P937" s="405"/>
      <c r="Q937" s="635">
        <f t="shared" si="178"/>
        <v>64203.6</v>
      </c>
    </row>
    <row r="938" spans="1:20" ht="54.75" hidden="1" customHeight="1">
      <c r="A938" s="273"/>
      <c r="B938" s="481" t="s">
        <v>1186</v>
      </c>
      <c r="C938" s="490" t="s">
        <v>1074</v>
      </c>
      <c r="D938" s="483">
        <v>112</v>
      </c>
      <c r="E938" s="484">
        <v>108288</v>
      </c>
      <c r="F938" s="526" t="s">
        <v>343</v>
      </c>
      <c r="G938" s="488" t="s">
        <v>1075</v>
      </c>
      <c r="H938" s="489"/>
      <c r="I938" s="473">
        <f>INT(L938*$Q$139)</f>
        <v>0</v>
      </c>
      <c r="J938" s="473">
        <f>INT(M938*$R$139)</f>
        <v>0</v>
      </c>
      <c r="K938" s="473">
        <f>SUM(I938:J938)</f>
        <v>0</v>
      </c>
      <c r="L938" s="167"/>
      <c r="M938" s="167"/>
      <c r="N938" s="167">
        <f>SUM(L938,M938)</f>
        <v>0</v>
      </c>
      <c r="O938" s="640">
        <f t="shared" si="177"/>
        <v>0</v>
      </c>
      <c r="P938" s="405"/>
      <c r="Q938" s="635">
        <f t="shared" si="178"/>
        <v>0</v>
      </c>
    </row>
    <row r="939" spans="1:20" s="510" customFormat="1" ht="72" hidden="1" customHeight="1">
      <c r="A939" s="501"/>
      <c r="B939" s="502"/>
      <c r="C939" s="503" t="s">
        <v>311</v>
      </c>
      <c r="D939" s="504"/>
      <c r="E939" s="505"/>
      <c r="F939" s="504"/>
      <c r="G939" s="504"/>
      <c r="H939" s="504"/>
      <c r="I939" s="506">
        <f>SUM(I940:I942)</f>
        <v>829651</v>
      </c>
      <c r="J939" s="506">
        <f>SUM(J940:J942)</f>
        <v>0</v>
      </c>
      <c r="K939" s="506">
        <f>SUM(I939,J939)</f>
        <v>829651</v>
      </c>
      <c r="L939" s="507">
        <f>SUM(L940:L942)</f>
        <v>829651</v>
      </c>
      <c r="M939" s="507">
        <f>SUM(M940:M942)</f>
        <v>0</v>
      </c>
      <c r="N939" s="507">
        <f>L939+M939</f>
        <v>829651</v>
      </c>
      <c r="O939" s="640">
        <f t="shared" si="177"/>
        <v>0</v>
      </c>
      <c r="P939" s="508"/>
      <c r="Q939" s="635">
        <f t="shared" si="178"/>
        <v>0</v>
      </c>
      <c r="R939" s="508"/>
      <c r="S939" s="508"/>
      <c r="T939" s="509"/>
    </row>
    <row r="940" spans="1:20" ht="54.75" hidden="1" customHeight="1">
      <c r="A940" s="273" t="s">
        <v>674</v>
      </c>
      <c r="B940" s="481" t="s">
        <v>1029</v>
      </c>
      <c r="C940" s="490" t="s">
        <v>313</v>
      </c>
      <c r="D940" s="483">
        <v>8100</v>
      </c>
      <c r="E940" s="484" t="s">
        <v>778</v>
      </c>
      <c r="F940" s="526" t="s">
        <v>343</v>
      </c>
      <c r="G940" s="488" t="s">
        <v>201</v>
      </c>
      <c r="H940" s="489">
        <v>1570</v>
      </c>
      <c r="I940" s="473">
        <f>INT(L940*$Q$139)</f>
        <v>785408</v>
      </c>
      <c r="J940" s="473">
        <f>INT(M940*$R$139)</f>
        <v>0</v>
      </c>
      <c r="K940" s="473">
        <f>SUM(I940:J940)</f>
        <v>785408</v>
      </c>
      <c r="L940" s="167">
        <f>931820-146412</f>
        <v>785408</v>
      </c>
      <c r="M940" s="167"/>
      <c r="N940" s="167">
        <f>SUM(L940,M940)</f>
        <v>785408</v>
      </c>
      <c r="O940" s="640">
        <f t="shared" si="177"/>
        <v>0</v>
      </c>
      <c r="P940" s="405"/>
      <c r="Q940" s="635">
        <f t="shared" si="178"/>
        <v>0</v>
      </c>
    </row>
    <row r="941" spans="1:20" ht="54.75" hidden="1" customHeight="1">
      <c r="A941" s="273" t="s">
        <v>676</v>
      </c>
      <c r="B941" s="481" t="s">
        <v>1028</v>
      </c>
      <c r="C941" s="490" t="s">
        <v>314</v>
      </c>
      <c r="D941" s="483">
        <v>8100</v>
      </c>
      <c r="E941" s="484" t="s">
        <v>778</v>
      </c>
      <c r="F941" s="526" t="s">
        <v>343</v>
      </c>
      <c r="G941" s="488" t="s">
        <v>315</v>
      </c>
      <c r="H941" s="489">
        <v>1</v>
      </c>
      <c r="I941" s="473">
        <f>INT(L941*$Q$139)</f>
        <v>44243</v>
      </c>
      <c r="J941" s="473">
        <f>INT(M941*$R$139)</f>
        <v>0</v>
      </c>
      <c r="K941" s="473">
        <f>SUM(I941:J941)</f>
        <v>44243</v>
      </c>
      <c r="L941" s="167">
        <v>44243</v>
      </c>
      <c r="M941" s="167"/>
      <c r="N941" s="167">
        <f>SUM(L941,M941)</f>
        <v>44243</v>
      </c>
      <c r="O941" s="640">
        <f t="shared" si="177"/>
        <v>0</v>
      </c>
      <c r="P941" s="405"/>
      <c r="Q941" s="635">
        <f t="shared" si="178"/>
        <v>0</v>
      </c>
    </row>
    <row r="942" spans="1:20" ht="35.1" hidden="1" customHeight="1">
      <c r="A942" s="240" t="s">
        <v>677</v>
      </c>
      <c r="B942" s="240" t="s">
        <v>677</v>
      </c>
      <c r="C942" s="183" t="s">
        <v>349</v>
      </c>
      <c r="D942" s="228">
        <v>112</v>
      </c>
      <c r="E942" s="229" t="s">
        <v>778</v>
      </c>
      <c r="F942" s="230" t="s">
        <v>31</v>
      </c>
      <c r="G942" s="464" t="s">
        <v>151</v>
      </c>
      <c r="H942" s="231">
        <v>1</v>
      </c>
      <c r="I942" s="388">
        <f>INT(L942*$Q$139)</f>
        <v>0</v>
      </c>
      <c r="J942" s="388">
        <f>INT(M942*$R$139)</f>
        <v>0</v>
      </c>
      <c r="K942" s="388">
        <f>SUM(I942:J942)</f>
        <v>0</v>
      </c>
      <c r="L942" s="280">
        <v>0</v>
      </c>
      <c r="M942" s="280"/>
      <c r="N942" s="280">
        <f>SUM(L942,M942)</f>
        <v>0</v>
      </c>
      <c r="O942" s="640">
        <f t="shared" si="177"/>
        <v>0</v>
      </c>
      <c r="Q942" s="635">
        <f t="shared" si="178"/>
        <v>0</v>
      </c>
    </row>
    <row r="943" spans="1:20" ht="41.25" hidden="1" customHeight="1">
      <c r="A943" s="149"/>
      <c r="B943" s="149"/>
      <c r="C943" s="143" t="s">
        <v>274</v>
      </c>
      <c r="D943" s="144"/>
      <c r="E943" s="144"/>
      <c r="F943" s="137"/>
      <c r="G943" s="143"/>
      <c r="H943" s="135"/>
      <c r="I943" s="391">
        <f t="shared" ref="I943:N943" si="179">SUM(I944:I945)</f>
        <v>0</v>
      </c>
      <c r="J943" s="391">
        <f t="shared" si="179"/>
        <v>0</v>
      </c>
      <c r="K943" s="391">
        <f t="shared" si="179"/>
        <v>0</v>
      </c>
      <c r="L943" s="391">
        <f t="shared" si="179"/>
        <v>0</v>
      </c>
      <c r="M943" s="391">
        <f t="shared" si="179"/>
        <v>0</v>
      </c>
      <c r="N943" s="391">
        <f t="shared" si="179"/>
        <v>0</v>
      </c>
      <c r="O943" s="640">
        <f t="shared" si="177"/>
        <v>0</v>
      </c>
      <c r="Q943" s="635">
        <f t="shared" si="178"/>
        <v>0</v>
      </c>
    </row>
    <row r="944" spans="1:20" ht="48.75" hidden="1" customHeight="1">
      <c r="A944" s="273" t="s">
        <v>835</v>
      </c>
      <c r="B944" s="273" t="s">
        <v>835</v>
      </c>
      <c r="C944" s="183" t="s">
        <v>681</v>
      </c>
      <c r="D944" s="228">
        <v>112</v>
      </c>
      <c r="E944" s="229" t="s">
        <v>795</v>
      </c>
      <c r="F944" s="230" t="s">
        <v>31</v>
      </c>
      <c r="G944" s="237" t="s">
        <v>725</v>
      </c>
      <c r="H944" s="251">
        <v>1</v>
      </c>
      <c r="I944" s="388">
        <f>INT(L944*$Q$139)</f>
        <v>0</v>
      </c>
      <c r="J944" s="388">
        <f>INT(M944*$R$139)</f>
        <v>0</v>
      </c>
      <c r="K944" s="388">
        <f>SUM(I944:J944)</f>
        <v>0</v>
      </c>
      <c r="L944" s="167"/>
      <c r="M944" s="167"/>
      <c r="N944" s="167">
        <f>SUM(L944,M944)</f>
        <v>0</v>
      </c>
      <c r="O944" s="640">
        <f t="shared" si="177"/>
        <v>0</v>
      </c>
      <c r="Q944" s="635">
        <f t="shared" si="178"/>
        <v>0</v>
      </c>
    </row>
    <row r="945" spans="1:20" ht="48.75" hidden="1" customHeight="1">
      <c r="A945" s="273" t="s">
        <v>837</v>
      </c>
      <c r="B945" s="273" t="s">
        <v>837</v>
      </c>
      <c r="C945" s="241" t="s">
        <v>316</v>
      </c>
      <c r="D945" s="228">
        <v>112</v>
      </c>
      <c r="E945" s="229" t="s">
        <v>795</v>
      </c>
      <c r="F945" s="230" t="s">
        <v>31</v>
      </c>
      <c r="G945" s="242" t="s">
        <v>315</v>
      </c>
      <c r="H945" s="251">
        <v>1</v>
      </c>
      <c r="I945" s="388">
        <f>INT(L945*$Q$139)</f>
        <v>0</v>
      </c>
      <c r="J945" s="388">
        <f>INT(M945*$R$139)</f>
        <v>0</v>
      </c>
      <c r="K945" s="388">
        <f>SUM(I945:J945)</f>
        <v>0</v>
      </c>
      <c r="L945" s="167"/>
      <c r="M945" s="167"/>
      <c r="N945" s="167">
        <f>SUM(L945,M945)</f>
        <v>0</v>
      </c>
      <c r="O945" s="640">
        <f t="shared" si="177"/>
        <v>0</v>
      </c>
      <c r="Q945" s="635">
        <f t="shared" si="178"/>
        <v>0</v>
      </c>
    </row>
    <row r="946" spans="1:20" s="510" customFormat="1" ht="72" hidden="1" customHeight="1">
      <c r="A946" s="501"/>
      <c r="B946" s="502"/>
      <c r="C946" s="503" t="s">
        <v>312</v>
      </c>
      <c r="D946" s="504"/>
      <c r="E946" s="505"/>
      <c r="F946" s="504"/>
      <c r="G946" s="504"/>
      <c r="H946" s="504"/>
      <c r="I946" s="506">
        <f>SUM(I947:I947)</f>
        <v>35657</v>
      </c>
      <c r="J946" s="506">
        <f>J947+J948</f>
        <v>10466</v>
      </c>
      <c r="K946" s="506">
        <f>SUM(I946,J946)</f>
        <v>46123</v>
      </c>
      <c r="L946" s="507">
        <f>SUM(L947:L947)</f>
        <v>35657</v>
      </c>
      <c r="M946" s="507">
        <f>M947+M948</f>
        <v>10466</v>
      </c>
      <c r="N946" s="507">
        <f>SUM(L946,M946)</f>
        <v>46123</v>
      </c>
      <c r="O946" s="640">
        <f t="shared" si="177"/>
        <v>4186.3999999999996</v>
      </c>
      <c r="P946" s="508"/>
      <c r="Q946" s="635">
        <f t="shared" si="178"/>
        <v>4186.3999999999996</v>
      </c>
      <c r="R946" s="508"/>
      <c r="S946" s="508"/>
      <c r="T946" s="509"/>
    </row>
    <row r="947" spans="1:20" ht="54.75" customHeight="1">
      <c r="A947" s="273" t="s">
        <v>631</v>
      </c>
      <c r="B947" s="481" t="s">
        <v>1030</v>
      </c>
      <c r="C947" s="490" t="s">
        <v>316</v>
      </c>
      <c r="D947" s="483">
        <v>8100</v>
      </c>
      <c r="E947" s="484">
        <v>108288</v>
      </c>
      <c r="F947" s="526" t="s">
        <v>343</v>
      </c>
      <c r="G947" s="488" t="s">
        <v>315</v>
      </c>
      <c r="H947" s="489">
        <v>1</v>
      </c>
      <c r="I947" s="473">
        <f>INT(L947*$Q$139)</f>
        <v>35657</v>
      </c>
      <c r="J947" s="473">
        <f>INT(M947*$R$139)</f>
        <v>10466</v>
      </c>
      <c r="K947" s="473">
        <f>SUM(I947:J947)</f>
        <v>46123</v>
      </c>
      <c r="L947" s="167">
        <v>35657</v>
      </c>
      <c r="M947" s="167">
        <v>10466</v>
      </c>
      <c r="N947" s="167">
        <f>SUM(L947,M947)</f>
        <v>46123</v>
      </c>
      <c r="O947" s="640">
        <f t="shared" si="177"/>
        <v>4186.3999999999996</v>
      </c>
      <c r="P947" s="405"/>
      <c r="Q947" s="635">
        <f t="shared" si="178"/>
        <v>4186.3999999999996</v>
      </c>
    </row>
    <row r="948" spans="1:20" ht="73.5" hidden="1" customHeight="1">
      <c r="A948" s="273" t="s">
        <v>631</v>
      </c>
      <c r="B948" s="481" t="s">
        <v>1188</v>
      </c>
      <c r="C948" s="490" t="s">
        <v>1187</v>
      </c>
      <c r="D948" s="483">
        <v>112</v>
      </c>
      <c r="E948" s="484">
        <v>108288</v>
      </c>
      <c r="F948" s="526" t="s">
        <v>343</v>
      </c>
      <c r="G948" s="488" t="s">
        <v>1075</v>
      </c>
      <c r="H948" s="489"/>
      <c r="I948" s="473">
        <f>L948</f>
        <v>0</v>
      </c>
      <c r="J948" s="473">
        <f>INT(M948*$R$139)</f>
        <v>0</v>
      </c>
      <c r="K948" s="473">
        <f>SUM(I948:J948)</f>
        <v>0</v>
      </c>
      <c r="L948" s="167"/>
      <c r="M948" s="167"/>
      <c r="N948" s="167">
        <f>SUM(L948,M948)</f>
        <v>0</v>
      </c>
      <c r="O948" s="640">
        <f t="shared" si="177"/>
        <v>0</v>
      </c>
      <c r="P948" s="405"/>
      <c r="Q948" s="635">
        <f t="shared" si="178"/>
        <v>0</v>
      </c>
    </row>
    <row r="949" spans="1:20" s="579" customFormat="1" ht="46.5" customHeight="1">
      <c r="A949" s="572"/>
      <c r="B949" s="572"/>
      <c r="C949" s="573" t="s">
        <v>68</v>
      </c>
      <c r="D949" s="574"/>
      <c r="E949" s="574"/>
      <c r="F949" s="575" t="s">
        <v>108</v>
      </c>
      <c r="G949" s="576"/>
      <c r="H949" s="576"/>
      <c r="I949" s="577">
        <f t="shared" ref="I949:N949" si="180">SUM(I950,I952,I954,I957,I959,I962)</f>
        <v>762000</v>
      </c>
      <c r="J949" s="577">
        <f>SUM(J950,J952,J954,J957,J959,J962)</f>
        <v>54987</v>
      </c>
      <c r="K949" s="577">
        <f t="shared" si="180"/>
        <v>816987</v>
      </c>
      <c r="L949" s="578">
        <f t="shared" si="180"/>
        <v>762000</v>
      </c>
      <c r="M949" s="578">
        <f>SUM(M950,M952,M954,M957,M959,M962)</f>
        <v>54987</v>
      </c>
      <c r="N949" s="578">
        <f t="shared" si="180"/>
        <v>816987</v>
      </c>
      <c r="O949" s="644">
        <f t="shared" si="177"/>
        <v>21994.799999999999</v>
      </c>
      <c r="Q949" s="635">
        <f t="shared" si="178"/>
        <v>21994.799999999999</v>
      </c>
    </row>
    <row r="950" spans="1:20" s="510" customFormat="1" ht="72" hidden="1" customHeight="1">
      <c r="A950" s="501"/>
      <c r="B950" s="502"/>
      <c r="C950" s="503" t="s">
        <v>292</v>
      </c>
      <c r="D950" s="504"/>
      <c r="E950" s="505"/>
      <c r="F950" s="504"/>
      <c r="G950" s="504"/>
      <c r="H950" s="504"/>
      <c r="I950" s="506">
        <f>I951</f>
        <v>34392</v>
      </c>
      <c r="J950" s="506">
        <f>J951</f>
        <v>0</v>
      </c>
      <c r="K950" s="506">
        <f>SUM(I950,J950)</f>
        <v>34392</v>
      </c>
      <c r="L950" s="507">
        <f>L951</f>
        <v>34392</v>
      </c>
      <c r="M950" s="507">
        <f>M951</f>
        <v>0</v>
      </c>
      <c r="N950" s="507">
        <f t="shared" ref="N950:N956" si="181">SUM(L950,M950)</f>
        <v>34392</v>
      </c>
      <c r="O950" s="640">
        <f t="shared" si="177"/>
        <v>0</v>
      </c>
      <c r="P950" s="508"/>
      <c r="Q950" s="635">
        <f t="shared" si="178"/>
        <v>0</v>
      </c>
      <c r="R950" s="508"/>
      <c r="S950" s="508"/>
      <c r="T950" s="509"/>
    </row>
    <row r="951" spans="1:20" ht="54.75" hidden="1" customHeight="1">
      <c r="A951" s="273" t="s">
        <v>668</v>
      </c>
      <c r="B951" s="481" t="s">
        <v>1172</v>
      </c>
      <c r="C951" s="490" t="s">
        <v>318</v>
      </c>
      <c r="D951" s="483">
        <v>8100</v>
      </c>
      <c r="E951" s="484">
        <v>108288</v>
      </c>
      <c r="F951" s="526" t="s">
        <v>67</v>
      </c>
      <c r="G951" s="488" t="s">
        <v>160</v>
      </c>
      <c r="H951" s="489">
        <v>1</v>
      </c>
      <c r="I951" s="473">
        <f>INT(L951*$R$139)</f>
        <v>34392</v>
      </c>
      <c r="J951" s="473">
        <f>INT(M951*$R$139)</f>
        <v>0</v>
      </c>
      <c r="K951" s="473">
        <f>SUM(I951:J951)</f>
        <v>34392</v>
      </c>
      <c r="L951" s="167">
        <v>34392</v>
      </c>
      <c r="M951" s="167"/>
      <c r="N951" s="167">
        <f t="shared" si="181"/>
        <v>34392</v>
      </c>
      <c r="O951" s="640">
        <f t="shared" si="177"/>
        <v>0</v>
      </c>
      <c r="P951" s="405"/>
      <c r="Q951" s="635">
        <f t="shared" si="178"/>
        <v>0</v>
      </c>
    </row>
    <row r="952" spans="1:20" s="510" customFormat="1" ht="72" hidden="1" customHeight="1">
      <c r="A952" s="501"/>
      <c r="B952" s="502"/>
      <c r="C952" s="503" t="s">
        <v>141</v>
      </c>
      <c r="D952" s="504"/>
      <c r="E952" s="505"/>
      <c r="F952" s="504"/>
      <c r="G952" s="504"/>
      <c r="H952" s="504"/>
      <c r="I952" s="506">
        <f>SUM(I953)</f>
        <v>551738</v>
      </c>
      <c r="J952" s="506">
        <f>SUM(J953)</f>
        <v>0</v>
      </c>
      <c r="K952" s="506">
        <f>SUM(I952,J952)</f>
        <v>551738</v>
      </c>
      <c r="L952" s="507">
        <f>SUM(L953)</f>
        <v>551738</v>
      </c>
      <c r="M952" s="507">
        <f>SUM(M953)</f>
        <v>0</v>
      </c>
      <c r="N952" s="507">
        <f t="shared" si="181"/>
        <v>551738</v>
      </c>
      <c r="O952" s="640">
        <f t="shared" si="177"/>
        <v>0</v>
      </c>
      <c r="P952" s="508"/>
      <c r="Q952" s="635">
        <f t="shared" si="178"/>
        <v>0</v>
      </c>
      <c r="R952" s="508"/>
      <c r="S952" s="508"/>
      <c r="T952" s="509"/>
    </row>
    <row r="953" spans="1:20" ht="54.75" hidden="1" customHeight="1">
      <c r="A953" s="273" t="s">
        <v>614</v>
      </c>
      <c r="B953" s="481" t="s">
        <v>1173</v>
      </c>
      <c r="C953" s="490" t="s">
        <v>317</v>
      </c>
      <c r="D953" s="483">
        <v>8100</v>
      </c>
      <c r="E953" s="484">
        <v>108288</v>
      </c>
      <c r="F953" s="526" t="s">
        <v>67</v>
      </c>
      <c r="G953" s="488" t="s">
        <v>143</v>
      </c>
      <c r="H953" s="489">
        <v>797</v>
      </c>
      <c r="I953" s="473">
        <f>INT(L953*$R$139)</f>
        <v>551738</v>
      </c>
      <c r="J953" s="473">
        <f>INT(M953*$R$139)</f>
        <v>0</v>
      </c>
      <c r="K953" s="473">
        <f>SUM(I953:J953)</f>
        <v>551738</v>
      </c>
      <c r="L953" s="167">
        <v>551738</v>
      </c>
      <c r="M953" s="167"/>
      <c r="N953" s="167">
        <f t="shared" si="181"/>
        <v>551738</v>
      </c>
      <c r="O953" s="640">
        <f t="shared" si="177"/>
        <v>0</v>
      </c>
      <c r="P953" s="405"/>
      <c r="Q953" s="635">
        <f t="shared" si="178"/>
        <v>0</v>
      </c>
    </row>
    <row r="954" spans="1:20" s="510" customFormat="1" ht="72" hidden="1" customHeight="1">
      <c r="A954" s="501"/>
      <c r="B954" s="502"/>
      <c r="C954" s="503" t="s">
        <v>310</v>
      </c>
      <c r="D954" s="504"/>
      <c r="E954" s="505"/>
      <c r="F954" s="504"/>
      <c r="G954" s="504"/>
      <c r="H954" s="504"/>
      <c r="I954" s="506">
        <f>SUM(I955:I956)</f>
        <v>134870</v>
      </c>
      <c r="J954" s="506">
        <f>SUM(J955:J956)</f>
        <v>36487</v>
      </c>
      <c r="K954" s="506">
        <f>SUM(I954,J954)</f>
        <v>171357</v>
      </c>
      <c r="L954" s="507">
        <f>SUM(L955:L956)</f>
        <v>134870</v>
      </c>
      <c r="M954" s="507">
        <f>SUM(M955:M956)</f>
        <v>36487</v>
      </c>
      <c r="N954" s="507">
        <f t="shared" si="181"/>
        <v>171357</v>
      </c>
      <c r="O954" s="640">
        <f t="shared" si="177"/>
        <v>14594.8</v>
      </c>
      <c r="P954" s="508"/>
      <c r="Q954" s="635">
        <f t="shared" si="178"/>
        <v>14594.8</v>
      </c>
      <c r="R954" s="508"/>
      <c r="S954" s="508"/>
      <c r="T954" s="509"/>
    </row>
    <row r="955" spans="1:20" ht="54.75" customHeight="1">
      <c r="A955" s="273" t="s">
        <v>616</v>
      </c>
      <c r="B955" s="481" t="s">
        <v>1027</v>
      </c>
      <c r="C955" s="490" t="s">
        <v>681</v>
      </c>
      <c r="D955" s="483">
        <v>8100</v>
      </c>
      <c r="E955" s="484">
        <v>108288</v>
      </c>
      <c r="F955" s="526" t="s">
        <v>67</v>
      </c>
      <c r="G955" s="488" t="s">
        <v>725</v>
      </c>
      <c r="H955" s="489">
        <v>1</v>
      </c>
      <c r="I955" s="473">
        <f>INT(L955*$R$139)</f>
        <v>134870</v>
      </c>
      <c r="J955" s="473">
        <f>INT(M955*$R$139)</f>
        <v>36487</v>
      </c>
      <c r="K955" s="473">
        <f>SUM(I955:J955)</f>
        <v>171357</v>
      </c>
      <c r="L955" s="167">
        <v>134870</v>
      </c>
      <c r="M955" s="167">
        <v>36487</v>
      </c>
      <c r="N955" s="167">
        <f t="shared" si="181"/>
        <v>171357</v>
      </c>
      <c r="O955" s="640">
        <f t="shared" si="177"/>
        <v>14594.8</v>
      </c>
      <c r="P955" s="405"/>
      <c r="Q955" s="635">
        <f t="shared" si="178"/>
        <v>14594.8</v>
      </c>
    </row>
    <row r="956" spans="1:20" ht="54.75" hidden="1" customHeight="1">
      <c r="A956" s="273"/>
      <c r="B956" s="481" t="s">
        <v>1186</v>
      </c>
      <c r="C956" s="490" t="s">
        <v>1074</v>
      </c>
      <c r="D956" s="483">
        <v>112</v>
      </c>
      <c r="E956" s="484">
        <v>108288</v>
      </c>
      <c r="F956" s="526" t="s">
        <v>67</v>
      </c>
      <c r="G956" s="488" t="s">
        <v>1075</v>
      </c>
      <c r="H956" s="489"/>
      <c r="I956" s="473">
        <f>INT(L956*$R$139)</f>
        <v>0</v>
      </c>
      <c r="J956" s="473">
        <f>INT(M956*$R$139)</f>
        <v>0</v>
      </c>
      <c r="K956" s="473">
        <f>SUM(I956:J956)</f>
        <v>0</v>
      </c>
      <c r="L956" s="167"/>
      <c r="M956" s="167"/>
      <c r="N956" s="167">
        <f t="shared" si="181"/>
        <v>0</v>
      </c>
      <c r="O956" s="640">
        <f t="shared" si="177"/>
        <v>0</v>
      </c>
      <c r="P956" s="405"/>
      <c r="Q956" s="635">
        <f t="shared" si="178"/>
        <v>0</v>
      </c>
    </row>
    <row r="957" spans="1:20" s="510" customFormat="1" ht="72" hidden="1" customHeight="1">
      <c r="A957" s="501"/>
      <c r="B957" s="502"/>
      <c r="C957" s="503" t="s">
        <v>278</v>
      </c>
      <c r="D957" s="504"/>
      <c r="E957" s="505"/>
      <c r="F957" s="504"/>
      <c r="G957" s="504"/>
      <c r="H957" s="504"/>
      <c r="I957" s="506">
        <f t="shared" ref="I957:N957" si="182">SUM(I958)</f>
        <v>11000</v>
      </c>
      <c r="J957" s="506">
        <f t="shared" si="182"/>
        <v>0</v>
      </c>
      <c r="K957" s="506">
        <f t="shared" si="182"/>
        <v>11000</v>
      </c>
      <c r="L957" s="507">
        <f t="shared" si="182"/>
        <v>11000</v>
      </c>
      <c r="M957" s="507">
        <f t="shared" si="182"/>
        <v>0</v>
      </c>
      <c r="N957" s="507">
        <f t="shared" si="182"/>
        <v>11000</v>
      </c>
      <c r="O957" s="640">
        <f t="shared" si="177"/>
        <v>0</v>
      </c>
      <c r="P957" s="508"/>
      <c r="Q957" s="635">
        <f t="shared" si="178"/>
        <v>0</v>
      </c>
      <c r="R957" s="508"/>
      <c r="S957" s="508"/>
      <c r="T957" s="509"/>
    </row>
    <row r="958" spans="1:20" ht="54.75" hidden="1" customHeight="1">
      <c r="A958" s="273" t="s">
        <v>653</v>
      </c>
      <c r="B958" s="481" t="s">
        <v>1031</v>
      </c>
      <c r="C958" s="490" t="s">
        <v>319</v>
      </c>
      <c r="D958" s="483">
        <v>8100</v>
      </c>
      <c r="E958" s="484" t="s">
        <v>686</v>
      </c>
      <c r="F958" s="526" t="s">
        <v>67</v>
      </c>
      <c r="G958" s="488" t="s">
        <v>18</v>
      </c>
      <c r="H958" s="489">
        <v>51</v>
      </c>
      <c r="I958" s="473">
        <f>INT(L958*$R$139)</f>
        <v>11000</v>
      </c>
      <c r="J958" s="473">
        <f>INT(M958*$R$139)</f>
        <v>0</v>
      </c>
      <c r="K958" s="473">
        <f>SUM(I958:J958)</f>
        <v>11000</v>
      </c>
      <c r="L958" s="167">
        <v>11000</v>
      </c>
      <c r="M958" s="167"/>
      <c r="N958" s="167">
        <f>SUM(L958,M958)</f>
        <v>11000</v>
      </c>
      <c r="O958" s="640">
        <f t="shared" si="177"/>
        <v>0</v>
      </c>
      <c r="P958" s="405"/>
      <c r="Q958" s="635">
        <f t="shared" si="178"/>
        <v>0</v>
      </c>
    </row>
    <row r="959" spans="1:20" ht="41.25" hidden="1" customHeight="1">
      <c r="A959" s="149"/>
      <c r="B959" s="434"/>
      <c r="C959" s="143" t="s">
        <v>274</v>
      </c>
      <c r="D959" s="144"/>
      <c r="E959" s="144"/>
      <c r="F959" s="137"/>
      <c r="G959" s="143"/>
      <c r="H959" s="135"/>
      <c r="I959" s="391">
        <f t="shared" ref="I959:N959" si="183">SUM(I960:I961)</f>
        <v>0</v>
      </c>
      <c r="J959" s="391">
        <f t="shared" si="183"/>
        <v>0</v>
      </c>
      <c r="K959" s="391">
        <f t="shared" si="183"/>
        <v>0</v>
      </c>
      <c r="L959" s="391">
        <f t="shared" si="183"/>
        <v>0</v>
      </c>
      <c r="M959" s="391">
        <f t="shared" si="183"/>
        <v>0</v>
      </c>
      <c r="N959" s="391">
        <f t="shared" si="183"/>
        <v>0</v>
      </c>
      <c r="O959" s="640">
        <f t="shared" si="177"/>
        <v>0</v>
      </c>
      <c r="Q959" s="635">
        <f t="shared" si="178"/>
        <v>0</v>
      </c>
    </row>
    <row r="960" spans="1:20" ht="48.75" hidden="1" customHeight="1">
      <c r="A960" s="443" t="s">
        <v>835</v>
      </c>
      <c r="B960" s="443" t="s">
        <v>835</v>
      </c>
      <c r="C960" s="183" t="s">
        <v>681</v>
      </c>
      <c r="D960" s="228">
        <v>112</v>
      </c>
      <c r="E960" s="229" t="s">
        <v>795</v>
      </c>
      <c r="F960" s="230" t="s">
        <v>67</v>
      </c>
      <c r="G960" s="237" t="s">
        <v>725</v>
      </c>
      <c r="H960" s="251">
        <v>1</v>
      </c>
      <c r="I960" s="388">
        <f>INT(L960*$Q$139)</f>
        <v>0</v>
      </c>
      <c r="J960" s="388">
        <f>INT(M960*$R$139)</f>
        <v>0</v>
      </c>
      <c r="K960" s="388">
        <f>SUM(I960:J960)</f>
        <v>0</v>
      </c>
      <c r="L960" s="167"/>
      <c r="M960" s="167"/>
      <c r="N960" s="167">
        <f>SUM(L960,M960)</f>
        <v>0</v>
      </c>
      <c r="O960" s="640">
        <f t="shared" si="177"/>
        <v>0</v>
      </c>
      <c r="Q960" s="635">
        <f t="shared" si="178"/>
        <v>0</v>
      </c>
    </row>
    <row r="961" spans="1:20" ht="48.75" hidden="1" customHeight="1">
      <c r="A961" s="443" t="s">
        <v>837</v>
      </c>
      <c r="B961" s="443" t="s">
        <v>837</v>
      </c>
      <c r="C961" s="241" t="s">
        <v>316</v>
      </c>
      <c r="D961" s="228">
        <v>112</v>
      </c>
      <c r="E961" s="229" t="s">
        <v>795</v>
      </c>
      <c r="F961" s="230" t="s">
        <v>67</v>
      </c>
      <c r="G961" s="242" t="s">
        <v>315</v>
      </c>
      <c r="H961" s="251">
        <v>1</v>
      </c>
      <c r="I961" s="388">
        <f>INT(L961*$Q$139)</f>
        <v>0</v>
      </c>
      <c r="J961" s="388">
        <f>INT(M961*$R$139)</f>
        <v>0</v>
      </c>
      <c r="K961" s="388">
        <f>SUM(I961:J961)</f>
        <v>0</v>
      </c>
      <c r="L961" s="167"/>
      <c r="M961" s="167"/>
      <c r="N961" s="167">
        <f>SUM(L961,M961)</f>
        <v>0</v>
      </c>
      <c r="O961" s="640">
        <f t="shared" si="177"/>
        <v>0</v>
      </c>
      <c r="Q961" s="635">
        <f t="shared" si="178"/>
        <v>0</v>
      </c>
    </row>
    <row r="962" spans="1:20" s="510" customFormat="1" ht="72" hidden="1" customHeight="1">
      <c r="A962" s="501"/>
      <c r="B962" s="502"/>
      <c r="C962" s="503" t="s">
        <v>312</v>
      </c>
      <c r="D962" s="504"/>
      <c r="E962" s="505"/>
      <c r="F962" s="504"/>
      <c r="G962" s="504"/>
      <c r="H962" s="504"/>
      <c r="I962" s="506">
        <f>SUM(I963:I964)</f>
        <v>30000</v>
      </c>
      <c r="J962" s="506">
        <f>SUM(J963:J964)</f>
        <v>18500</v>
      </c>
      <c r="K962" s="506">
        <f>SUM(I962,J962)</f>
        <v>48500</v>
      </c>
      <c r="L962" s="507">
        <f>SUM(L963:L964)</f>
        <v>30000</v>
      </c>
      <c r="M962" s="507">
        <f>SUM(M963:M964)</f>
        <v>18500</v>
      </c>
      <c r="N962" s="507">
        <f>SUM(L962,M962)</f>
        <v>48500</v>
      </c>
      <c r="O962" s="640">
        <f t="shared" si="177"/>
        <v>7400</v>
      </c>
      <c r="P962" s="508"/>
      <c r="Q962" s="635">
        <f t="shared" si="178"/>
        <v>7400</v>
      </c>
      <c r="R962" s="508"/>
      <c r="S962" s="508"/>
      <c r="T962" s="509"/>
    </row>
    <row r="963" spans="1:20" ht="54.75" customHeight="1">
      <c r="A963" s="273" t="s">
        <v>631</v>
      </c>
      <c r="B963" s="481" t="s">
        <v>1030</v>
      </c>
      <c r="C963" s="490" t="s">
        <v>316</v>
      </c>
      <c r="D963" s="483">
        <v>8100</v>
      </c>
      <c r="E963" s="484">
        <v>108288</v>
      </c>
      <c r="F963" s="526" t="s">
        <v>67</v>
      </c>
      <c r="G963" s="488" t="s">
        <v>315</v>
      </c>
      <c r="H963" s="489">
        <v>1</v>
      </c>
      <c r="I963" s="473">
        <f>INT(L963*$R$139)</f>
        <v>30000</v>
      </c>
      <c r="J963" s="473">
        <f>INT(M963*$R$139)</f>
        <v>18500</v>
      </c>
      <c r="K963" s="473">
        <f>SUM(I963:J963)</f>
        <v>48500</v>
      </c>
      <c r="L963" s="167">
        <v>30000</v>
      </c>
      <c r="M963" s="167">
        <v>18500</v>
      </c>
      <c r="N963" s="167">
        <f>SUM(L963,M963)</f>
        <v>48500</v>
      </c>
      <c r="O963" s="640">
        <f t="shared" si="177"/>
        <v>7400</v>
      </c>
      <c r="P963" s="405"/>
      <c r="Q963" s="635">
        <f t="shared" si="178"/>
        <v>7400</v>
      </c>
    </row>
    <row r="964" spans="1:20" ht="54.75" hidden="1" customHeight="1">
      <c r="A964" s="273" t="s">
        <v>631</v>
      </c>
      <c r="B964" s="481" t="s">
        <v>1188</v>
      </c>
      <c r="C964" s="490" t="s">
        <v>1187</v>
      </c>
      <c r="D964" s="483">
        <v>112</v>
      </c>
      <c r="E964" s="484">
        <v>108288</v>
      </c>
      <c r="F964" s="526" t="s">
        <v>67</v>
      </c>
      <c r="G964" s="488" t="s">
        <v>1075</v>
      </c>
      <c r="H964" s="489"/>
      <c r="I964" s="473">
        <f>L964</f>
        <v>0</v>
      </c>
      <c r="J964" s="473">
        <f>INT(M964*$R$139)</f>
        <v>0</v>
      </c>
      <c r="K964" s="473">
        <f>SUM(I964:J964)</f>
        <v>0</v>
      </c>
      <c r="L964" s="167"/>
      <c r="M964" s="167"/>
      <c r="N964" s="167">
        <f>SUM(L964,M964)</f>
        <v>0</v>
      </c>
      <c r="O964" s="640">
        <f t="shared" si="177"/>
        <v>0</v>
      </c>
      <c r="P964" s="405"/>
      <c r="Q964" s="635">
        <f t="shared" si="178"/>
        <v>0</v>
      </c>
    </row>
    <row r="965" spans="1:20" s="51" customFormat="1" ht="63" hidden="1" customHeight="1">
      <c r="A965" s="25"/>
      <c r="B965" s="1287" t="s">
        <v>1276</v>
      </c>
      <c r="C965" s="1287"/>
      <c r="D965" s="1287"/>
      <c r="E965" s="1287"/>
      <c r="F965" s="1287"/>
      <c r="G965" s="1287"/>
      <c r="H965" s="1287"/>
      <c r="I965" s="1287"/>
      <c r="J965" s="1287"/>
      <c r="K965" s="1287"/>
      <c r="L965" s="594"/>
      <c r="M965" s="594"/>
      <c r="N965" s="594"/>
      <c r="O965" s="640">
        <f t="shared" si="177"/>
        <v>0</v>
      </c>
      <c r="P965" s="28"/>
      <c r="Q965" s="635">
        <f t="shared" si="178"/>
        <v>0</v>
      </c>
      <c r="R965" s="28"/>
      <c r="S965" s="28"/>
      <c r="T965" s="29"/>
    </row>
    <row r="966" spans="1:20" s="51" customFormat="1" ht="49.5" hidden="1" customHeight="1">
      <c r="A966" s="110"/>
      <c r="B966" s="110"/>
      <c r="C966" s="110"/>
      <c r="D966" s="110"/>
      <c r="E966" s="110"/>
      <c r="F966" s="110"/>
      <c r="G966" s="111"/>
      <c r="H966" s="111"/>
      <c r="I966" s="111"/>
      <c r="J966" s="111"/>
      <c r="K966" s="111"/>
      <c r="L966" s="110"/>
      <c r="M966" s="110"/>
      <c r="N966" s="110"/>
      <c r="O966" s="640">
        <f t="shared" si="177"/>
        <v>0</v>
      </c>
      <c r="P966" s="28"/>
      <c r="Q966" s="635">
        <f t="shared" si="178"/>
        <v>0</v>
      </c>
      <c r="R966" s="28"/>
      <c r="S966" s="28"/>
      <c r="T966" s="29"/>
    </row>
    <row r="967" spans="1:20" s="17" customFormat="1" ht="17.100000000000001" hidden="1" customHeight="1">
      <c r="A967" s="110"/>
      <c r="B967" s="110"/>
      <c r="C967" s="110"/>
      <c r="D967" s="110"/>
      <c r="E967" s="110"/>
      <c r="F967" s="110"/>
      <c r="G967" s="111"/>
      <c r="H967" s="111"/>
      <c r="I967" s="111"/>
      <c r="J967" s="111"/>
      <c r="K967" s="111"/>
      <c r="L967" s="110"/>
      <c r="M967" s="110"/>
      <c r="N967" s="110"/>
      <c r="O967" s="640">
        <f t="shared" si="177"/>
        <v>0</v>
      </c>
      <c r="P967" s="28"/>
      <c r="Q967" s="635">
        <f t="shared" si="178"/>
        <v>0</v>
      </c>
      <c r="R967" s="28"/>
      <c r="S967" s="28"/>
      <c r="T967" s="29"/>
    </row>
    <row r="968" spans="1:20" s="17" customFormat="1" ht="17.100000000000001" hidden="1" customHeight="1">
      <c r="A968" s="110"/>
      <c r="B968" s="110"/>
      <c r="C968" s="110"/>
      <c r="D968" s="110"/>
      <c r="E968" s="110"/>
      <c r="F968" s="110"/>
      <c r="G968" s="111"/>
      <c r="H968" s="111"/>
      <c r="I968" s="111"/>
      <c r="J968" s="111"/>
      <c r="K968" s="111"/>
      <c r="L968" s="110"/>
      <c r="M968" s="110"/>
      <c r="N968" s="110"/>
      <c r="O968" s="640">
        <f t="shared" si="177"/>
        <v>0</v>
      </c>
      <c r="P968" s="28"/>
      <c r="Q968" s="635">
        <f t="shared" si="178"/>
        <v>0</v>
      </c>
      <c r="R968" s="28"/>
      <c r="S968" s="28"/>
      <c r="T968" s="29"/>
    </row>
    <row r="969" spans="1:20" s="51" customFormat="1" ht="17.100000000000001" hidden="1" customHeight="1">
      <c r="A969" s="110"/>
      <c r="B969" s="110"/>
      <c r="C969" s="110"/>
      <c r="D969" s="110"/>
      <c r="E969" s="110"/>
      <c r="F969" s="110"/>
      <c r="G969" s="112"/>
      <c r="H969" s="112"/>
      <c r="I969" s="112"/>
      <c r="J969" s="112"/>
      <c r="K969" s="112"/>
      <c r="L969" s="113"/>
      <c r="M969" s="110"/>
      <c r="N969" s="110"/>
      <c r="O969" s="640">
        <f t="shared" si="177"/>
        <v>0</v>
      </c>
      <c r="P969" s="28"/>
      <c r="Q969" s="635">
        <f t="shared" si="178"/>
        <v>0</v>
      </c>
      <c r="R969" s="28"/>
      <c r="S969" s="28"/>
      <c r="T969" s="29"/>
    </row>
    <row r="970" spans="1:20" ht="17.100000000000001" hidden="1" customHeight="1">
      <c r="A970" s="110"/>
      <c r="B970" s="110"/>
      <c r="C970" s="110"/>
      <c r="D970" s="110"/>
      <c r="E970" s="110"/>
      <c r="F970" s="110"/>
      <c r="G970" s="111"/>
      <c r="H970" s="111"/>
      <c r="I970" s="111"/>
      <c r="J970" s="111"/>
      <c r="K970" s="111"/>
      <c r="L970" s="110"/>
      <c r="M970" s="110"/>
      <c r="N970" s="110"/>
      <c r="O970" s="640">
        <f t="shared" si="177"/>
        <v>0</v>
      </c>
      <c r="Q970" s="635">
        <f t="shared" si="178"/>
        <v>0</v>
      </c>
    </row>
    <row r="971" spans="1:20" s="51" customFormat="1" ht="21.95" hidden="1" customHeight="1" thickBot="1">
      <c r="A971" s="110"/>
      <c r="B971" s="110"/>
      <c r="C971" s="110"/>
      <c r="D971" s="110"/>
      <c r="E971" s="110"/>
      <c r="F971" s="110"/>
      <c r="G971" s="111"/>
      <c r="H971" s="111"/>
      <c r="I971" s="111"/>
      <c r="J971" s="111"/>
      <c r="K971" s="111"/>
      <c r="L971" s="110"/>
      <c r="M971" s="110"/>
      <c r="N971" s="110"/>
      <c r="O971" s="640">
        <f t="shared" si="177"/>
        <v>0</v>
      </c>
      <c r="P971" s="28"/>
      <c r="Q971" s="635">
        <f t="shared" si="178"/>
        <v>0</v>
      </c>
      <c r="R971" s="28"/>
      <c r="S971" s="28"/>
      <c r="T971" s="29"/>
    </row>
    <row r="972" spans="1:20" s="51" customFormat="1" ht="29.25" hidden="1" customHeight="1">
      <c r="A972" s="41"/>
      <c r="B972" s="41"/>
      <c r="C972" s="1204" t="s">
        <v>51</v>
      </c>
      <c r="D972" s="1204"/>
      <c r="E972" s="1204"/>
      <c r="F972" s="1204"/>
      <c r="G972" s="11"/>
      <c r="H972" s="1243" t="s">
        <v>11</v>
      </c>
      <c r="I972" s="1244"/>
      <c r="J972" s="1244"/>
      <c r="K972" s="1245"/>
      <c r="L972" s="337"/>
      <c r="M972" s="337"/>
      <c r="N972" s="337"/>
      <c r="O972" s="640">
        <f t="shared" si="177"/>
        <v>0</v>
      </c>
      <c r="P972" s="28"/>
      <c r="Q972" s="635">
        <f t="shared" si="178"/>
        <v>0</v>
      </c>
      <c r="R972" s="28"/>
      <c r="S972" s="28"/>
      <c r="T972" s="29"/>
    </row>
    <row r="973" spans="1:20" s="17" customFormat="1" ht="29.25" hidden="1" customHeight="1">
      <c r="A973" s="41"/>
      <c r="B973" s="41"/>
      <c r="C973" s="1204" t="s">
        <v>52</v>
      </c>
      <c r="D973" s="1204"/>
      <c r="E973" s="1204"/>
      <c r="F973" s="1204"/>
      <c r="G973" s="11"/>
      <c r="H973" s="1208" t="s">
        <v>21</v>
      </c>
      <c r="I973" s="1209"/>
      <c r="J973" s="1209"/>
      <c r="K973" s="1210"/>
      <c r="L973" s="336"/>
      <c r="M973" s="336"/>
      <c r="N973" s="336"/>
      <c r="O973" s="640">
        <f t="shared" si="177"/>
        <v>0</v>
      </c>
      <c r="P973" s="28"/>
      <c r="Q973" s="635">
        <f t="shared" si="178"/>
        <v>0</v>
      </c>
      <c r="R973" s="28"/>
      <c r="S973" s="28"/>
      <c r="T973" s="29"/>
    </row>
    <row r="974" spans="1:20" s="51" customFormat="1" ht="29.25" hidden="1" customHeight="1">
      <c r="A974" s="41"/>
      <c r="B974" s="41"/>
      <c r="C974" s="1204" t="s">
        <v>50</v>
      </c>
      <c r="D974" s="1204"/>
      <c r="E974" s="1204"/>
      <c r="F974" s="1204"/>
      <c r="G974" s="11"/>
      <c r="H974" s="1211"/>
      <c r="I974" s="1212"/>
      <c r="J974" s="1212"/>
      <c r="K974" s="1213"/>
      <c r="L974" s="336"/>
      <c r="M974" s="336"/>
      <c r="N974" s="336"/>
      <c r="O974" s="640">
        <f t="shared" si="177"/>
        <v>0</v>
      </c>
      <c r="P974" s="28"/>
      <c r="Q974" s="635">
        <f t="shared" si="178"/>
        <v>0</v>
      </c>
      <c r="R974" s="28"/>
      <c r="S974" s="28"/>
      <c r="T974" s="29"/>
    </row>
    <row r="975" spans="1:20" s="51" customFormat="1" ht="45" hidden="1" customHeight="1">
      <c r="A975" s="41"/>
      <c r="B975" s="41"/>
      <c r="C975" s="1252"/>
      <c r="D975" s="1252"/>
      <c r="E975" s="1252"/>
      <c r="F975" s="1252"/>
      <c r="G975" s="44"/>
      <c r="H975" s="1211" t="s">
        <v>22</v>
      </c>
      <c r="I975" s="1212"/>
      <c r="J975" s="1212"/>
      <c r="K975" s="477">
        <f>K1015</f>
        <v>14317270</v>
      </c>
      <c r="L975" s="336"/>
      <c r="M975" s="336"/>
      <c r="N975" s="86"/>
      <c r="O975" s="640">
        <f t="shared" si="177"/>
        <v>0</v>
      </c>
      <c r="P975" s="28"/>
      <c r="Q975" s="635">
        <f t="shared" si="178"/>
        <v>0</v>
      </c>
      <c r="R975" s="28"/>
      <c r="S975" s="28"/>
      <c r="T975" s="29"/>
    </row>
    <row r="976" spans="1:20" ht="52.5" hidden="1" customHeight="1" thickBot="1">
      <c r="A976" s="75"/>
      <c r="B976" s="75"/>
      <c r="C976" s="65"/>
      <c r="D976" s="65"/>
      <c r="E976" s="65"/>
      <c r="F976" s="10"/>
      <c r="G976" s="10"/>
      <c r="H976" s="1283" t="s">
        <v>13</v>
      </c>
      <c r="I976" s="1284"/>
      <c r="J976" s="1284"/>
      <c r="K976" s="1285"/>
      <c r="L976" s="336"/>
      <c r="M976" s="336"/>
      <c r="N976" s="336"/>
      <c r="O976" s="640">
        <f t="shared" si="177"/>
        <v>0</v>
      </c>
      <c r="Q976" s="635">
        <f t="shared" si="178"/>
        <v>0</v>
      </c>
    </row>
    <row r="977" spans="1:20" s="51" customFormat="1" ht="30" hidden="1" customHeight="1">
      <c r="A977" s="110"/>
      <c r="B977" s="110"/>
      <c r="C977" s="110"/>
      <c r="D977" s="110"/>
      <c r="E977" s="110"/>
      <c r="F977" s="110"/>
      <c r="G977" s="111"/>
      <c r="H977" s="111"/>
      <c r="I977" s="111"/>
      <c r="J977" s="111"/>
      <c r="K977" s="111"/>
      <c r="L977" s="110"/>
      <c r="M977" s="110"/>
      <c r="N977" s="110"/>
      <c r="O977" s="640">
        <f t="shared" si="177"/>
        <v>0</v>
      </c>
      <c r="P977" s="28"/>
      <c r="Q977" s="635">
        <f t="shared" si="178"/>
        <v>0</v>
      </c>
      <c r="R977" s="28"/>
      <c r="S977" s="28"/>
      <c r="T977" s="29"/>
    </row>
    <row r="978" spans="1:20" s="51" customFormat="1" ht="30" hidden="1" customHeight="1">
      <c r="A978" s="110"/>
      <c r="B978" s="110"/>
      <c r="C978" s="110"/>
      <c r="D978" s="110"/>
      <c r="E978" s="110"/>
      <c r="F978" s="110"/>
      <c r="G978" s="111"/>
      <c r="H978" s="111"/>
      <c r="I978" s="111"/>
      <c r="J978" s="111"/>
      <c r="K978" s="111"/>
      <c r="L978" s="110"/>
      <c r="M978" s="110"/>
      <c r="N978" s="110"/>
      <c r="O978" s="640">
        <f t="shared" si="177"/>
        <v>0</v>
      </c>
      <c r="P978" s="28"/>
      <c r="Q978" s="635">
        <f t="shared" si="178"/>
        <v>0</v>
      </c>
      <c r="R978" s="28"/>
      <c r="S978" s="28"/>
      <c r="T978" s="29"/>
    </row>
    <row r="979" spans="1:20" ht="39.950000000000003" hidden="1" customHeight="1">
      <c r="A979" s="346"/>
      <c r="B979" s="1226" t="s">
        <v>1037</v>
      </c>
      <c r="C979" s="1226"/>
      <c r="D979" s="1226"/>
      <c r="E979" s="1226"/>
      <c r="F979" s="1226"/>
      <c r="G979" s="1226"/>
      <c r="H979" s="1226"/>
      <c r="I979" s="1226"/>
      <c r="J979" s="1226"/>
      <c r="K979" s="1226"/>
      <c r="L979" s="346"/>
      <c r="M979" s="346"/>
      <c r="N979" s="346"/>
      <c r="O979" s="640">
        <f t="shared" si="177"/>
        <v>0</v>
      </c>
      <c r="P979" s="404"/>
      <c r="Q979" s="635">
        <f t="shared" si="178"/>
        <v>0</v>
      </c>
      <c r="R979" s="27"/>
      <c r="S979" s="27"/>
      <c r="T979" s="27"/>
    </row>
    <row r="980" spans="1:20" s="51" customFormat="1" ht="20.100000000000001" hidden="1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640">
        <f t="shared" si="177"/>
        <v>0</v>
      </c>
      <c r="P980" s="28"/>
      <c r="Q980" s="635">
        <f t="shared" si="178"/>
        <v>0</v>
      </c>
      <c r="R980" s="28"/>
      <c r="S980" s="28"/>
      <c r="T980" s="29"/>
    </row>
    <row r="981" spans="1:20" s="500" customFormat="1" ht="90" hidden="1">
      <c r="A981" s="496" t="s">
        <v>14</v>
      </c>
      <c r="B981" s="497" t="s">
        <v>14</v>
      </c>
      <c r="C981" s="497" t="s">
        <v>37</v>
      </c>
      <c r="D981" s="497" t="s">
        <v>440</v>
      </c>
      <c r="E981" s="497" t="s">
        <v>16</v>
      </c>
      <c r="F981" s="497" t="s">
        <v>185</v>
      </c>
      <c r="G981" s="497" t="s">
        <v>178</v>
      </c>
      <c r="H981" s="497" t="s">
        <v>179</v>
      </c>
      <c r="I981" s="497" t="s">
        <v>180</v>
      </c>
      <c r="J981" s="497" t="s">
        <v>1275</v>
      </c>
      <c r="K981" s="497" t="s">
        <v>200</v>
      </c>
      <c r="L981" s="496" t="s">
        <v>180</v>
      </c>
      <c r="M981" s="496" t="s">
        <v>181</v>
      </c>
      <c r="N981" s="496" t="s">
        <v>200</v>
      </c>
      <c r="O981" s="640" t="e">
        <f t="shared" si="177"/>
        <v>#VALUE!</v>
      </c>
      <c r="P981" s="498"/>
      <c r="Q981" s="635" t="e">
        <f t="shared" si="178"/>
        <v>#VALUE!</v>
      </c>
      <c r="R981" s="498"/>
      <c r="S981" s="498"/>
      <c r="T981" s="499"/>
    </row>
    <row r="982" spans="1:20" s="579" customFormat="1" ht="46.5" customHeight="1">
      <c r="A982" s="572"/>
      <c r="B982" s="572"/>
      <c r="C982" s="573" t="s">
        <v>87</v>
      </c>
      <c r="D982" s="574"/>
      <c r="E982" s="574"/>
      <c r="F982" s="575" t="s">
        <v>109</v>
      </c>
      <c r="G982" s="576"/>
      <c r="H982" s="576"/>
      <c r="I982" s="577">
        <f t="shared" ref="I982:N982" si="184">SUM(I983,I985,I987,I989,I993)</f>
        <v>834366</v>
      </c>
      <c r="J982" s="577">
        <f t="shared" si="184"/>
        <v>60366</v>
      </c>
      <c r="K982" s="577">
        <f t="shared" si="184"/>
        <v>894732</v>
      </c>
      <c r="L982" s="578">
        <f t="shared" si="184"/>
        <v>834366</v>
      </c>
      <c r="M982" s="578">
        <f t="shared" si="184"/>
        <v>60366</v>
      </c>
      <c r="N982" s="578">
        <f t="shared" si="184"/>
        <v>894732</v>
      </c>
      <c r="O982" s="644">
        <f t="shared" si="177"/>
        <v>24146.399999999998</v>
      </c>
      <c r="Q982" s="635">
        <f t="shared" si="178"/>
        <v>24146.400000000001</v>
      </c>
    </row>
    <row r="983" spans="1:20" s="510" customFormat="1" ht="72" hidden="1" customHeight="1">
      <c r="A983" s="501"/>
      <c r="B983" s="502"/>
      <c r="C983" s="503" t="s">
        <v>292</v>
      </c>
      <c r="D983" s="504"/>
      <c r="E983" s="505"/>
      <c r="F983" s="504"/>
      <c r="G983" s="504"/>
      <c r="H983" s="504"/>
      <c r="I983" s="506">
        <f>SUM(I984)</f>
        <v>120000</v>
      </c>
      <c r="J983" s="506">
        <f>SUM(J984)</f>
        <v>0</v>
      </c>
      <c r="K983" s="506">
        <f>I983+J983</f>
        <v>120000</v>
      </c>
      <c r="L983" s="507">
        <f>SUM(L984)</f>
        <v>120000</v>
      </c>
      <c r="M983" s="507">
        <f>SUM(M984)</f>
        <v>0</v>
      </c>
      <c r="N983" s="507">
        <f>L983+M983</f>
        <v>120000</v>
      </c>
      <c r="O983" s="640">
        <f t="shared" si="177"/>
        <v>0</v>
      </c>
      <c r="P983" s="508"/>
      <c r="Q983" s="635">
        <f t="shared" si="178"/>
        <v>0</v>
      </c>
      <c r="R983" s="508"/>
      <c r="S983" s="508"/>
      <c r="T983" s="509"/>
    </row>
    <row r="984" spans="1:20" ht="54.75" hidden="1" customHeight="1">
      <c r="A984" s="273" t="s">
        <v>940</v>
      </c>
      <c r="B984" s="481" t="s">
        <v>1189</v>
      </c>
      <c r="C984" s="490" t="s">
        <v>1220</v>
      </c>
      <c r="D984" s="483">
        <v>8100</v>
      </c>
      <c r="E984" s="484">
        <v>108288</v>
      </c>
      <c r="F984" s="526" t="s">
        <v>93</v>
      </c>
      <c r="G984" s="488" t="s">
        <v>137</v>
      </c>
      <c r="H984" s="489">
        <v>160</v>
      </c>
      <c r="I984" s="473">
        <f>INT(L984*$Q$139)</f>
        <v>120000</v>
      </c>
      <c r="J984" s="473">
        <f>INT(M984*$R$139)</f>
        <v>0</v>
      </c>
      <c r="K984" s="473">
        <f>SUM(I984:J984)</f>
        <v>120000</v>
      </c>
      <c r="L984" s="167">
        <f>58500+61500</f>
        <v>120000</v>
      </c>
      <c r="M984" s="167"/>
      <c r="N984" s="167">
        <f>SUM(L984,M984)</f>
        <v>120000</v>
      </c>
      <c r="O984" s="640">
        <f t="shared" si="177"/>
        <v>0</v>
      </c>
      <c r="P984" s="405"/>
      <c r="Q984" s="635">
        <f t="shared" si="178"/>
        <v>0</v>
      </c>
    </row>
    <row r="985" spans="1:20" s="510" customFormat="1" ht="72" hidden="1" customHeight="1">
      <c r="A985" s="501"/>
      <c r="B985" s="502"/>
      <c r="C985" s="503" t="s">
        <v>241</v>
      </c>
      <c r="D985" s="504"/>
      <c r="E985" s="505"/>
      <c r="F985" s="504"/>
      <c r="G985" s="504"/>
      <c r="H985" s="504"/>
      <c r="I985" s="506">
        <f>SUM(I986)</f>
        <v>683486</v>
      </c>
      <c r="J985" s="506">
        <f>SUM(J986)</f>
        <v>0</v>
      </c>
      <c r="K985" s="506">
        <f>I985+J985</f>
        <v>683486</v>
      </c>
      <c r="L985" s="507">
        <f>SUM(L986)</f>
        <v>683486</v>
      </c>
      <c r="M985" s="507">
        <f>SUM(M986)</f>
        <v>0</v>
      </c>
      <c r="N985" s="507">
        <f>L985+M985</f>
        <v>683486</v>
      </c>
      <c r="O985" s="640">
        <f t="shared" si="177"/>
        <v>0</v>
      </c>
      <c r="P985" s="508"/>
      <c r="Q985" s="635">
        <f t="shared" si="178"/>
        <v>0</v>
      </c>
      <c r="R985" s="508"/>
      <c r="S985" s="508"/>
      <c r="T985" s="509"/>
    </row>
    <row r="986" spans="1:20" ht="54.75" hidden="1" customHeight="1">
      <c r="A986" s="273" t="s">
        <v>614</v>
      </c>
      <c r="B986" s="481" t="s">
        <v>1173</v>
      </c>
      <c r="C986" s="490" t="s">
        <v>317</v>
      </c>
      <c r="D986" s="483">
        <v>8100</v>
      </c>
      <c r="E986" s="484">
        <v>108288</v>
      </c>
      <c r="F986" s="526" t="s">
        <v>93</v>
      </c>
      <c r="G986" s="488" t="s">
        <v>143</v>
      </c>
      <c r="H986" s="489">
        <v>2849</v>
      </c>
      <c r="I986" s="473">
        <f>INT(L986*$Q$139)</f>
        <v>683486</v>
      </c>
      <c r="J986" s="473">
        <f>INT(M986*$R$139)</f>
        <v>0</v>
      </c>
      <c r="K986" s="473">
        <f>SUM(I986:J986)</f>
        <v>683486</v>
      </c>
      <c r="L986" s="167">
        <v>683486</v>
      </c>
      <c r="M986" s="167"/>
      <c r="N986" s="167">
        <f>SUM(L986,M986)</f>
        <v>683486</v>
      </c>
      <c r="O986" s="640">
        <f t="shared" si="177"/>
        <v>0</v>
      </c>
      <c r="P986" s="405"/>
      <c r="Q986" s="635">
        <f t="shared" si="178"/>
        <v>0</v>
      </c>
    </row>
    <row r="987" spans="1:20" s="510" customFormat="1" ht="72" hidden="1" customHeight="1">
      <c r="A987" s="501"/>
      <c r="B987" s="502"/>
      <c r="C987" s="503" t="s">
        <v>310</v>
      </c>
      <c r="D987" s="504"/>
      <c r="E987" s="505"/>
      <c r="F987" s="504"/>
      <c r="G987" s="504"/>
      <c r="H987" s="504"/>
      <c r="I987" s="506">
        <f>SUM(I988:I992)</f>
        <v>19942</v>
      </c>
      <c r="J987" s="506">
        <f>SUM(J988:J992)</f>
        <v>36308</v>
      </c>
      <c r="K987" s="506">
        <f>I987+J987</f>
        <v>56250</v>
      </c>
      <c r="L987" s="507">
        <f>SUM(L988:L992)</f>
        <v>19942</v>
      </c>
      <c r="M987" s="507">
        <f>SUM(M988:M992)</f>
        <v>36308</v>
      </c>
      <c r="N987" s="507">
        <f>L987+M987</f>
        <v>56250</v>
      </c>
      <c r="O987" s="640">
        <f t="shared" si="177"/>
        <v>14523.199999999999</v>
      </c>
      <c r="P987" s="508"/>
      <c r="Q987" s="635">
        <f t="shared" si="178"/>
        <v>14523.2</v>
      </c>
      <c r="R987" s="508"/>
      <c r="S987" s="508"/>
      <c r="T987" s="509"/>
    </row>
    <row r="988" spans="1:20" ht="54.75" customHeight="1">
      <c r="A988" s="273" t="s">
        <v>616</v>
      </c>
      <c r="B988" s="481" t="s">
        <v>1027</v>
      </c>
      <c r="C988" s="490" t="s">
        <v>681</v>
      </c>
      <c r="D988" s="483">
        <v>8100</v>
      </c>
      <c r="E988" s="484">
        <v>108288</v>
      </c>
      <c r="F988" s="526" t="s">
        <v>93</v>
      </c>
      <c r="G988" s="488" t="s">
        <v>725</v>
      </c>
      <c r="H988" s="489">
        <v>1</v>
      </c>
      <c r="I988" s="473">
        <f>INT(L988*$Q$139)</f>
        <v>19942</v>
      </c>
      <c r="J988" s="473">
        <f>INT(M988*$R$139)</f>
        <v>36308</v>
      </c>
      <c r="K988" s="473">
        <f>SUM(I988:J988)</f>
        <v>56250</v>
      </c>
      <c r="L988" s="167">
        <v>19942</v>
      </c>
      <c r="M988" s="167">
        <v>36308</v>
      </c>
      <c r="N988" s="167">
        <f t="shared" ref="N988:N995" si="185">SUM(L988,M988)</f>
        <v>56250</v>
      </c>
      <c r="O988" s="640">
        <f t="shared" si="177"/>
        <v>14523.199999999999</v>
      </c>
      <c r="P988" s="405"/>
      <c r="Q988" s="635">
        <f t="shared" si="178"/>
        <v>14523.2</v>
      </c>
    </row>
    <row r="989" spans="1:20" ht="54.75" hidden="1" customHeight="1">
      <c r="A989" s="273"/>
      <c r="B989" s="481"/>
      <c r="C989" s="490" t="s">
        <v>274</v>
      </c>
      <c r="D989" s="483">
        <v>112</v>
      </c>
      <c r="E989" s="484">
        <v>108288</v>
      </c>
      <c r="F989" s="526" t="s">
        <v>93</v>
      </c>
      <c r="G989" s="488"/>
      <c r="H989" s="489"/>
      <c r="I989" s="473">
        <f>INT(L989*$Q$139)</f>
        <v>0</v>
      </c>
      <c r="J989" s="473">
        <f>INT(M989*$R$139)</f>
        <v>0</v>
      </c>
      <c r="K989" s="473">
        <f>SUM(I989:J989)</f>
        <v>0</v>
      </c>
      <c r="L989" s="167">
        <f>SUM(L990:L991)</f>
        <v>0</v>
      </c>
      <c r="M989" s="167">
        <f>SUM(M990:M991)</f>
        <v>0</v>
      </c>
      <c r="N989" s="167">
        <f t="shared" si="185"/>
        <v>0</v>
      </c>
      <c r="O989" s="640">
        <f t="shared" si="177"/>
        <v>0</v>
      </c>
      <c r="P989" s="405"/>
      <c r="Q989" s="635">
        <f t="shared" si="178"/>
        <v>0</v>
      </c>
    </row>
    <row r="990" spans="1:20" ht="54.75" hidden="1" customHeight="1">
      <c r="A990" s="273" t="s">
        <v>835</v>
      </c>
      <c r="B990" s="481" t="s">
        <v>835</v>
      </c>
      <c r="C990" s="490" t="s">
        <v>681</v>
      </c>
      <c r="D990" s="483">
        <v>112</v>
      </c>
      <c r="E990" s="484">
        <v>108288</v>
      </c>
      <c r="F990" s="526" t="s">
        <v>93</v>
      </c>
      <c r="G990" s="488" t="s">
        <v>725</v>
      </c>
      <c r="H990" s="489">
        <v>1</v>
      </c>
      <c r="I990" s="473">
        <f>INT(L990*$Q$139)</f>
        <v>0</v>
      </c>
      <c r="J990" s="473">
        <f>INT(M990*$R$139)</f>
        <v>0</v>
      </c>
      <c r="K990" s="473">
        <f>SUM(I990:J990)</f>
        <v>0</v>
      </c>
      <c r="L990" s="167"/>
      <c r="M990" s="167"/>
      <c r="N990" s="167">
        <f t="shared" si="185"/>
        <v>0</v>
      </c>
      <c r="O990" s="640">
        <f t="shared" si="177"/>
        <v>0</v>
      </c>
      <c r="P990" s="405"/>
      <c r="Q990" s="635">
        <f t="shared" si="178"/>
        <v>0</v>
      </c>
    </row>
    <row r="991" spans="1:20" ht="54.75" hidden="1" customHeight="1">
      <c r="A991" s="273" t="s">
        <v>837</v>
      </c>
      <c r="B991" s="481" t="s">
        <v>837</v>
      </c>
      <c r="C991" s="490" t="s">
        <v>316</v>
      </c>
      <c r="D991" s="483">
        <v>112</v>
      </c>
      <c r="E991" s="484">
        <v>108288</v>
      </c>
      <c r="F991" s="526" t="s">
        <v>93</v>
      </c>
      <c r="G991" s="488" t="s">
        <v>315</v>
      </c>
      <c r="H991" s="489">
        <v>1</v>
      </c>
      <c r="I991" s="473">
        <f>INT(L991*$Q$139)</f>
        <v>0</v>
      </c>
      <c r="J991" s="473">
        <f>INT(M991*$R$139)</f>
        <v>0</v>
      </c>
      <c r="K991" s="473">
        <f>SUM(I991:J991)</f>
        <v>0</v>
      </c>
      <c r="L991" s="167"/>
      <c r="M991" s="167"/>
      <c r="N991" s="167">
        <f t="shared" si="185"/>
        <v>0</v>
      </c>
      <c r="O991" s="640">
        <f t="shared" si="177"/>
        <v>0</v>
      </c>
      <c r="P991" s="405"/>
      <c r="Q991" s="635">
        <f t="shared" si="178"/>
        <v>0</v>
      </c>
    </row>
    <row r="992" spans="1:20" ht="54.75" hidden="1" customHeight="1">
      <c r="A992" s="273"/>
      <c r="B992" s="481" t="s">
        <v>1186</v>
      </c>
      <c r="C992" s="490" t="s">
        <v>1074</v>
      </c>
      <c r="D992" s="483">
        <v>112</v>
      </c>
      <c r="E992" s="484">
        <v>108288</v>
      </c>
      <c r="F992" s="526" t="s">
        <v>93</v>
      </c>
      <c r="G992" s="488" t="s">
        <v>1075</v>
      </c>
      <c r="H992" s="489"/>
      <c r="I992" s="473">
        <f>INT(L992*$Q$139)</f>
        <v>0</v>
      </c>
      <c r="J992" s="473">
        <f>INT(M992*$R$139)</f>
        <v>0</v>
      </c>
      <c r="K992" s="473">
        <f>SUM(I992:J992)</f>
        <v>0</v>
      </c>
      <c r="L992" s="167"/>
      <c r="M992" s="167"/>
      <c r="N992" s="167">
        <f t="shared" si="185"/>
        <v>0</v>
      </c>
      <c r="O992" s="640">
        <f t="shared" si="177"/>
        <v>0</v>
      </c>
      <c r="P992" s="405"/>
      <c r="Q992" s="635">
        <f t="shared" si="178"/>
        <v>0</v>
      </c>
    </row>
    <row r="993" spans="1:20" s="510" customFormat="1" ht="72" hidden="1" customHeight="1">
      <c r="A993" s="501"/>
      <c r="B993" s="502"/>
      <c r="C993" s="503" t="s">
        <v>312</v>
      </c>
      <c r="D993" s="504"/>
      <c r="E993" s="505"/>
      <c r="F993" s="504"/>
      <c r="G993" s="504"/>
      <c r="H993" s="504"/>
      <c r="I993" s="506">
        <f>SUM(I994,I995)</f>
        <v>10938</v>
      </c>
      <c r="J993" s="506">
        <f>SUM(J994,J995)</f>
        <v>24058</v>
      </c>
      <c r="K993" s="506">
        <f>I993+J993</f>
        <v>34996</v>
      </c>
      <c r="L993" s="507">
        <f>SUM(L994,L995)</f>
        <v>10938</v>
      </c>
      <c r="M993" s="507">
        <f>SUM(M994,M995)</f>
        <v>24058</v>
      </c>
      <c r="N993" s="507">
        <f>L993+M993</f>
        <v>34996</v>
      </c>
      <c r="O993" s="640">
        <f t="shared" si="177"/>
        <v>9623.2000000000007</v>
      </c>
      <c r="P993" s="508"/>
      <c r="Q993" s="635">
        <f t="shared" si="178"/>
        <v>9623.2000000000007</v>
      </c>
      <c r="R993" s="508"/>
      <c r="S993" s="508"/>
      <c r="T993" s="509"/>
    </row>
    <row r="994" spans="1:20" ht="54.75" customHeight="1">
      <c r="A994" s="273" t="s">
        <v>631</v>
      </c>
      <c r="B994" s="481" t="s">
        <v>1030</v>
      </c>
      <c r="C994" s="490" t="s">
        <v>316</v>
      </c>
      <c r="D994" s="483">
        <v>8100</v>
      </c>
      <c r="E994" s="484">
        <v>108288</v>
      </c>
      <c r="F994" s="526" t="s">
        <v>93</v>
      </c>
      <c r="G994" s="488" t="s">
        <v>138</v>
      </c>
      <c r="H994" s="489">
        <v>1</v>
      </c>
      <c r="I994" s="473">
        <f>INT(L994*$Q$139)</f>
        <v>10938</v>
      </c>
      <c r="J994" s="473">
        <f>INT(M994*$R$139)</f>
        <v>24058</v>
      </c>
      <c r="K994" s="473">
        <f>SUM(I994:J994)</f>
        <v>34996</v>
      </c>
      <c r="L994" s="167">
        <v>10938</v>
      </c>
      <c r="M994" s="167">
        <v>24058</v>
      </c>
      <c r="N994" s="167">
        <f t="shared" si="185"/>
        <v>34996</v>
      </c>
      <c r="O994" s="640">
        <f t="shared" si="177"/>
        <v>9623.2000000000007</v>
      </c>
      <c r="P994" s="405"/>
      <c r="Q994" s="635">
        <f t="shared" si="178"/>
        <v>9623.2000000000007</v>
      </c>
    </row>
    <row r="995" spans="1:20" ht="54.75" hidden="1" customHeight="1">
      <c r="A995" s="273"/>
      <c r="B995" s="481" t="s">
        <v>1188</v>
      </c>
      <c r="C995" s="490" t="s">
        <v>1187</v>
      </c>
      <c r="D995" s="483">
        <v>112</v>
      </c>
      <c r="E995" s="484">
        <v>108288</v>
      </c>
      <c r="F995" s="526" t="s">
        <v>93</v>
      </c>
      <c r="G995" s="488" t="s">
        <v>1075</v>
      </c>
      <c r="H995" s="489"/>
      <c r="I995" s="473">
        <f>INT(L995*$Q$139)</f>
        <v>0</v>
      </c>
      <c r="J995" s="473">
        <f>INT(M995*$R$139)</f>
        <v>0</v>
      </c>
      <c r="K995" s="473">
        <f>SUM(I995:J995)</f>
        <v>0</v>
      </c>
      <c r="L995" s="167"/>
      <c r="M995" s="167"/>
      <c r="N995" s="167">
        <f t="shared" si="185"/>
        <v>0</v>
      </c>
      <c r="O995" s="640">
        <f t="shared" si="177"/>
        <v>0</v>
      </c>
      <c r="P995" s="405"/>
      <c r="Q995" s="635">
        <f t="shared" si="178"/>
        <v>0</v>
      </c>
    </row>
    <row r="996" spans="1:20" s="579" customFormat="1" ht="46.5" customHeight="1">
      <c r="A996" s="572"/>
      <c r="B996" s="572"/>
      <c r="C996" s="573" t="s">
        <v>69</v>
      </c>
      <c r="D996" s="574"/>
      <c r="E996" s="574"/>
      <c r="F996" s="575" t="s">
        <v>110</v>
      </c>
      <c r="G996" s="576"/>
      <c r="H996" s="576"/>
      <c r="I996" s="577">
        <f t="shared" ref="I996:N996" si="186">SUM(I997,I999,I1001,I1004)</f>
        <v>473414</v>
      </c>
      <c r="J996" s="577">
        <f t="shared" si="186"/>
        <v>83163</v>
      </c>
      <c r="K996" s="577">
        <f t="shared" si="186"/>
        <v>556577</v>
      </c>
      <c r="L996" s="578">
        <f t="shared" si="186"/>
        <v>473414</v>
      </c>
      <c r="M996" s="578">
        <f t="shared" si="186"/>
        <v>83163</v>
      </c>
      <c r="N996" s="578">
        <f t="shared" si="186"/>
        <v>556577</v>
      </c>
      <c r="O996" s="644">
        <f t="shared" si="177"/>
        <v>33265.199999999997</v>
      </c>
      <c r="Q996" s="635">
        <f t="shared" si="178"/>
        <v>33265.199999999997</v>
      </c>
    </row>
    <row r="997" spans="1:20" s="510" customFormat="1" ht="72" hidden="1" customHeight="1">
      <c r="A997" s="501"/>
      <c r="B997" s="502"/>
      <c r="C997" s="503" t="s">
        <v>141</v>
      </c>
      <c r="D997" s="504"/>
      <c r="E997" s="505"/>
      <c r="F997" s="504"/>
      <c r="G997" s="504"/>
      <c r="H997" s="504"/>
      <c r="I997" s="506">
        <f>SUM(I998)</f>
        <v>453414</v>
      </c>
      <c r="J997" s="506"/>
      <c r="K997" s="506">
        <f>I997+J997</f>
        <v>453414</v>
      </c>
      <c r="L997" s="507">
        <f>SUM(L998)</f>
        <v>453414</v>
      </c>
      <c r="M997" s="507"/>
      <c r="N997" s="507">
        <f>SUM(L997,M997)</f>
        <v>453414</v>
      </c>
      <c r="O997" s="640">
        <f t="shared" si="177"/>
        <v>0</v>
      </c>
      <c r="P997" s="508"/>
      <c r="Q997" s="635">
        <f t="shared" si="178"/>
        <v>0</v>
      </c>
      <c r="R997" s="508"/>
      <c r="S997" s="508"/>
      <c r="T997" s="509"/>
    </row>
    <row r="998" spans="1:20" ht="54.75" hidden="1" customHeight="1">
      <c r="A998" s="273" t="s">
        <v>614</v>
      </c>
      <c r="B998" s="481" t="s">
        <v>1173</v>
      </c>
      <c r="C998" s="490" t="s">
        <v>317</v>
      </c>
      <c r="D998" s="483">
        <v>8100</v>
      </c>
      <c r="E998" s="484">
        <v>108288</v>
      </c>
      <c r="F998" s="526" t="s">
        <v>70</v>
      </c>
      <c r="G998" s="488" t="s">
        <v>143</v>
      </c>
      <c r="H998" s="489">
        <v>2069</v>
      </c>
      <c r="I998" s="473">
        <f>INT(L998*$Q$139)</f>
        <v>453414</v>
      </c>
      <c r="J998" s="473">
        <f>INT(M998*$R$139)</f>
        <v>0</v>
      </c>
      <c r="K998" s="473">
        <f>SUM(I998:J998)</f>
        <v>453414</v>
      </c>
      <c r="L998" s="167">
        <v>453414</v>
      </c>
      <c r="M998" s="167"/>
      <c r="N998" s="167">
        <f>SUM(L998,M998)</f>
        <v>453414</v>
      </c>
      <c r="O998" s="640">
        <f t="shared" si="177"/>
        <v>0</v>
      </c>
      <c r="P998" s="405"/>
      <c r="Q998" s="635">
        <f t="shared" si="178"/>
        <v>0</v>
      </c>
    </row>
    <row r="999" spans="1:20" s="510" customFormat="1" ht="72" hidden="1" customHeight="1">
      <c r="A999" s="501"/>
      <c r="B999" s="502"/>
      <c r="C999" s="503" t="s">
        <v>310</v>
      </c>
      <c r="D999" s="504"/>
      <c r="E999" s="505"/>
      <c r="F999" s="504"/>
      <c r="G999" s="504"/>
      <c r="H999" s="504"/>
      <c r="I999" s="506">
        <f>SUM(I1000:I1000)</f>
        <v>0</v>
      </c>
      <c r="J999" s="506">
        <f>SUM(J1000:J1000)</f>
        <v>56875</v>
      </c>
      <c r="K999" s="506">
        <f>I999+J999</f>
        <v>56875</v>
      </c>
      <c r="L999" s="507">
        <f>SUM(L1000:L1000)</f>
        <v>0</v>
      </c>
      <c r="M999" s="507">
        <f>SUM(M1000:M1000)</f>
        <v>56875</v>
      </c>
      <c r="N999" s="507">
        <f>SUM(L999,M999)</f>
        <v>56875</v>
      </c>
      <c r="O999" s="640">
        <f t="shared" si="177"/>
        <v>22750</v>
      </c>
      <c r="P999" s="508"/>
      <c r="Q999" s="635">
        <f t="shared" si="178"/>
        <v>22750</v>
      </c>
      <c r="R999" s="508"/>
      <c r="S999" s="508"/>
      <c r="T999" s="509"/>
    </row>
    <row r="1000" spans="1:20" ht="54.75" customHeight="1">
      <c r="A1000" s="273" t="s">
        <v>616</v>
      </c>
      <c r="B1000" s="481" t="s">
        <v>1027</v>
      </c>
      <c r="C1000" s="490" t="s">
        <v>681</v>
      </c>
      <c r="D1000" s="483">
        <v>8100</v>
      </c>
      <c r="E1000" s="484">
        <v>108288</v>
      </c>
      <c r="F1000" s="526" t="s">
        <v>70</v>
      </c>
      <c r="G1000" s="488" t="s">
        <v>1075</v>
      </c>
      <c r="H1000" s="489">
        <v>1</v>
      </c>
      <c r="I1000" s="473">
        <f>INT(L1000*$Q$139)</f>
        <v>0</v>
      </c>
      <c r="J1000" s="473">
        <f>INT(M1000*$R$139)</f>
        <v>56875</v>
      </c>
      <c r="K1000" s="473">
        <f>SUM(I1000:J1000)</f>
        <v>56875</v>
      </c>
      <c r="L1000" s="167"/>
      <c r="M1000" s="167">
        <v>56875</v>
      </c>
      <c r="N1000" s="167">
        <f>SUM(L1000,M1000)</f>
        <v>56875</v>
      </c>
      <c r="O1000" s="640">
        <f t="shared" ref="O1000:O1063" si="187">(J1000/100)*40</f>
        <v>22750</v>
      </c>
      <c r="P1000" s="405"/>
      <c r="Q1000" s="635">
        <f t="shared" ref="Q1000:Q1063" si="188">($Q$932*J1000)/100</f>
        <v>22750</v>
      </c>
    </row>
    <row r="1001" spans="1:20" ht="41.25" hidden="1" customHeight="1">
      <c r="A1001" s="149"/>
      <c r="B1001" s="149"/>
      <c r="C1001" s="143" t="s">
        <v>274</v>
      </c>
      <c r="D1001" s="144"/>
      <c r="E1001" s="144"/>
      <c r="F1001" s="137"/>
      <c r="G1001" s="143"/>
      <c r="H1001" s="135"/>
      <c r="I1001" s="391">
        <f t="shared" ref="I1001:N1001" si="189">SUM(I1002:I1003)</f>
        <v>0</v>
      </c>
      <c r="J1001" s="391">
        <f t="shared" si="189"/>
        <v>0</v>
      </c>
      <c r="K1001" s="391">
        <f t="shared" si="189"/>
        <v>0</v>
      </c>
      <c r="L1001" s="391">
        <f t="shared" si="189"/>
        <v>0</v>
      </c>
      <c r="M1001" s="391">
        <f t="shared" si="189"/>
        <v>0</v>
      </c>
      <c r="N1001" s="391">
        <f t="shared" si="189"/>
        <v>0</v>
      </c>
      <c r="O1001" s="640">
        <f t="shared" si="187"/>
        <v>0</v>
      </c>
      <c r="Q1001" s="635">
        <f t="shared" si="188"/>
        <v>0</v>
      </c>
    </row>
    <row r="1002" spans="1:20" ht="48.75" hidden="1" customHeight="1">
      <c r="A1002" s="273" t="s">
        <v>835</v>
      </c>
      <c r="B1002" s="273" t="s">
        <v>835</v>
      </c>
      <c r="C1002" s="183" t="s">
        <v>681</v>
      </c>
      <c r="D1002" s="228">
        <v>112</v>
      </c>
      <c r="E1002" s="229" t="s">
        <v>795</v>
      </c>
      <c r="F1002" s="230" t="s">
        <v>70</v>
      </c>
      <c r="G1002" s="237" t="s">
        <v>725</v>
      </c>
      <c r="H1002" s="251">
        <v>1</v>
      </c>
      <c r="I1002" s="388">
        <f>INT(L1002*$Q$139)</f>
        <v>0</v>
      </c>
      <c r="J1002" s="388">
        <f>INT(M1002*$R$139)</f>
        <v>0</v>
      </c>
      <c r="K1002" s="388">
        <f>SUM(I1002:J1002)</f>
        <v>0</v>
      </c>
      <c r="L1002" s="167"/>
      <c r="M1002" s="167"/>
      <c r="N1002" s="167">
        <f>SUM(L1002,M1002)</f>
        <v>0</v>
      </c>
      <c r="O1002" s="640">
        <f t="shared" si="187"/>
        <v>0</v>
      </c>
      <c r="Q1002" s="635">
        <f t="shared" si="188"/>
        <v>0</v>
      </c>
    </row>
    <row r="1003" spans="1:20" ht="48.75" hidden="1" customHeight="1">
      <c r="A1003" s="273" t="s">
        <v>837</v>
      </c>
      <c r="B1003" s="273" t="s">
        <v>837</v>
      </c>
      <c r="C1003" s="241" t="s">
        <v>316</v>
      </c>
      <c r="D1003" s="228">
        <v>112</v>
      </c>
      <c r="E1003" s="229" t="s">
        <v>795</v>
      </c>
      <c r="F1003" s="230" t="s">
        <v>70</v>
      </c>
      <c r="G1003" s="242" t="s">
        <v>315</v>
      </c>
      <c r="H1003" s="251">
        <v>1</v>
      </c>
      <c r="I1003" s="388">
        <f>INT(L1003*$Q$139)</f>
        <v>0</v>
      </c>
      <c r="J1003" s="388">
        <f>INT(M1003*$R$139)</f>
        <v>0</v>
      </c>
      <c r="K1003" s="388">
        <f>SUM(I1003:J1003)</f>
        <v>0</v>
      </c>
      <c r="L1003" s="167"/>
      <c r="M1003" s="167"/>
      <c r="N1003" s="167">
        <f>SUM(L1003,M1003)</f>
        <v>0</v>
      </c>
      <c r="O1003" s="640">
        <f t="shared" si="187"/>
        <v>0</v>
      </c>
      <c r="Q1003" s="635">
        <f t="shared" si="188"/>
        <v>0</v>
      </c>
    </row>
    <row r="1004" spans="1:20" s="510" customFormat="1" ht="72" hidden="1" customHeight="1">
      <c r="A1004" s="501"/>
      <c r="B1004" s="502"/>
      <c r="C1004" s="503" t="s">
        <v>312</v>
      </c>
      <c r="D1004" s="504"/>
      <c r="E1004" s="505"/>
      <c r="F1004" s="504"/>
      <c r="G1004" s="504"/>
      <c r="H1004" s="504"/>
      <c r="I1004" s="506">
        <f>SUM(I1005,I1006)</f>
        <v>20000</v>
      </c>
      <c r="J1004" s="506">
        <f>SUM(J1005,J1006)</f>
        <v>26288</v>
      </c>
      <c r="K1004" s="506">
        <f>I1004+J1004</f>
        <v>46288</v>
      </c>
      <c r="L1004" s="507">
        <f>SUM(L1005,L1006)</f>
        <v>20000</v>
      </c>
      <c r="M1004" s="507">
        <f>SUM(M1005,M1006)</f>
        <v>26288</v>
      </c>
      <c r="N1004" s="507">
        <f>SUM(L1004,M1004)</f>
        <v>46288</v>
      </c>
      <c r="O1004" s="640">
        <f t="shared" si="187"/>
        <v>10515.2</v>
      </c>
      <c r="P1004" s="508"/>
      <c r="Q1004" s="635">
        <f t="shared" si="188"/>
        <v>10515.2</v>
      </c>
      <c r="R1004" s="508"/>
      <c r="S1004" s="508"/>
      <c r="T1004" s="509"/>
    </row>
    <row r="1005" spans="1:20" ht="54.75" customHeight="1">
      <c r="A1005" s="273" t="s">
        <v>631</v>
      </c>
      <c r="B1005" s="481" t="s">
        <v>1030</v>
      </c>
      <c r="C1005" s="490" t="s">
        <v>316</v>
      </c>
      <c r="D1005" s="483">
        <v>8100</v>
      </c>
      <c r="E1005" s="484">
        <v>108288</v>
      </c>
      <c r="F1005" s="526" t="s">
        <v>70</v>
      </c>
      <c r="G1005" s="488" t="s">
        <v>315</v>
      </c>
      <c r="H1005" s="489">
        <v>1</v>
      </c>
      <c r="I1005" s="473">
        <f>INT(L1005*$Q$139)</f>
        <v>20000</v>
      </c>
      <c r="J1005" s="473">
        <f>INT(M1005*$R$139)</f>
        <v>26288</v>
      </c>
      <c r="K1005" s="473">
        <f>SUM(I1005:J1005)</f>
        <v>46288</v>
      </c>
      <c r="L1005" s="167">
        <v>20000</v>
      </c>
      <c r="M1005" s="167">
        <v>26288</v>
      </c>
      <c r="N1005" s="167">
        <f>SUM(L1005,M1005)</f>
        <v>46288</v>
      </c>
      <c r="O1005" s="640">
        <f t="shared" si="187"/>
        <v>10515.2</v>
      </c>
      <c r="P1005" s="405"/>
      <c r="Q1005" s="635">
        <f t="shared" si="188"/>
        <v>10515.2</v>
      </c>
    </row>
    <row r="1006" spans="1:20" ht="54.75" hidden="1" customHeight="1">
      <c r="A1006" s="273" t="s">
        <v>631</v>
      </c>
      <c r="B1006" s="481" t="s">
        <v>1188</v>
      </c>
      <c r="C1006" s="490" t="s">
        <v>1187</v>
      </c>
      <c r="D1006" s="483">
        <v>112</v>
      </c>
      <c r="E1006" s="484">
        <v>108288</v>
      </c>
      <c r="F1006" s="526" t="s">
        <v>70</v>
      </c>
      <c r="G1006" s="488" t="s">
        <v>1075</v>
      </c>
      <c r="H1006" s="489"/>
      <c r="I1006" s="473">
        <f>INT(L1006*$Q$139)</f>
        <v>0</v>
      </c>
      <c r="J1006" s="473">
        <f>INT(M1006*$R$139)</f>
        <v>0</v>
      </c>
      <c r="K1006" s="473">
        <f>SUM(I1006:J1006)</f>
        <v>0</v>
      </c>
      <c r="L1006" s="167"/>
      <c r="M1006" s="167"/>
      <c r="N1006" s="167">
        <f>SUM(L1006,M1006)</f>
        <v>0</v>
      </c>
      <c r="O1006" s="640">
        <f t="shared" si="187"/>
        <v>0</v>
      </c>
      <c r="P1006" s="405"/>
      <c r="Q1006" s="635">
        <f t="shared" si="188"/>
        <v>0</v>
      </c>
    </row>
    <row r="1007" spans="1:20" ht="63.75" hidden="1" customHeight="1">
      <c r="A1007" s="30"/>
      <c r="B1007" s="1287" t="s">
        <v>1276</v>
      </c>
      <c r="C1007" s="1287"/>
      <c r="D1007" s="1287"/>
      <c r="E1007" s="1287"/>
      <c r="F1007" s="1287"/>
      <c r="G1007" s="1287"/>
      <c r="H1007" s="1287"/>
      <c r="I1007" s="1287"/>
      <c r="J1007" s="1287"/>
      <c r="K1007" s="1287"/>
      <c r="L1007" s="595"/>
      <c r="M1007" s="595"/>
      <c r="N1007" s="595"/>
      <c r="O1007" s="640">
        <f t="shared" si="187"/>
        <v>0</v>
      </c>
      <c r="Q1007" s="635">
        <f t="shared" si="188"/>
        <v>0</v>
      </c>
    </row>
    <row r="1008" spans="1:20" ht="17.100000000000001" hidden="1" customHeight="1">
      <c r="A1008" s="614"/>
      <c r="B1008" s="614"/>
      <c r="C1008" s="614"/>
      <c r="D1008" s="614"/>
      <c r="E1008" s="614"/>
      <c r="F1008" s="614"/>
      <c r="G1008" s="97"/>
      <c r="H1008" s="97"/>
      <c r="I1008" s="97"/>
      <c r="J1008" s="97"/>
      <c r="K1008" s="97"/>
      <c r="L1008" s="614"/>
      <c r="M1008" s="614"/>
      <c r="N1008" s="614"/>
      <c r="O1008" s="640">
        <f t="shared" si="187"/>
        <v>0</v>
      </c>
      <c r="P1008" s="27"/>
      <c r="Q1008" s="635">
        <f t="shared" si="188"/>
        <v>0</v>
      </c>
      <c r="R1008" s="27"/>
      <c r="S1008" s="27"/>
      <c r="T1008" s="27"/>
    </row>
    <row r="1009" spans="1:20" ht="17.100000000000001" hidden="1" customHeight="1">
      <c r="A1009" s="614"/>
      <c r="B1009" s="614"/>
      <c r="C1009" s="614"/>
      <c r="D1009" s="614"/>
      <c r="E1009" s="614"/>
      <c r="F1009" s="614"/>
      <c r="G1009" s="97"/>
      <c r="H1009" s="97"/>
      <c r="I1009" s="97"/>
      <c r="J1009" s="97"/>
      <c r="K1009" s="97"/>
      <c r="L1009" s="614"/>
      <c r="M1009" s="614"/>
      <c r="N1009" s="614"/>
      <c r="O1009" s="640">
        <f t="shared" si="187"/>
        <v>0</v>
      </c>
      <c r="P1009" s="27"/>
      <c r="Q1009" s="635">
        <f t="shared" si="188"/>
        <v>0</v>
      </c>
      <c r="R1009" s="27"/>
      <c r="S1009" s="27"/>
      <c r="T1009" s="27"/>
    </row>
    <row r="1010" spans="1:20" ht="21.95" hidden="1" customHeight="1">
      <c r="A1010" s="614"/>
      <c r="B1010" s="614"/>
      <c r="C1010" s="614"/>
      <c r="D1010" s="614"/>
      <c r="E1010" s="614"/>
      <c r="F1010" s="614"/>
      <c r="G1010" s="97"/>
      <c r="H1010" s="97"/>
      <c r="I1010" s="97"/>
      <c r="J1010" s="97"/>
      <c r="K1010" s="97"/>
      <c r="L1010" s="614"/>
      <c r="M1010" s="614"/>
      <c r="N1010" s="614"/>
      <c r="O1010" s="640">
        <f t="shared" si="187"/>
        <v>0</v>
      </c>
      <c r="P1010" s="27"/>
      <c r="Q1010" s="635">
        <f t="shared" si="188"/>
        <v>0</v>
      </c>
      <c r="R1010" s="27"/>
      <c r="S1010" s="27"/>
      <c r="T1010" s="27"/>
    </row>
    <row r="1011" spans="1:20" ht="21.95" hidden="1" customHeight="1" thickBot="1">
      <c r="A1011" s="614"/>
      <c r="B1011" s="614"/>
      <c r="C1011" s="614"/>
      <c r="D1011" s="614"/>
      <c r="E1011" s="614"/>
      <c r="F1011" s="614"/>
      <c r="G1011" s="97"/>
      <c r="H1011" s="97"/>
      <c r="I1011" s="97"/>
      <c r="J1011" s="97"/>
      <c r="K1011" s="97"/>
      <c r="L1011" s="614"/>
      <c r="M1011" s="614"/>
      <c r="N1011" s="614"/>
      <c r="O1011" s="640">
        <f t="shared" si="187"/>
        <v>0</v>
      </c>
      <c r="P1011" s="27"/>
      <c r="Q1011" s="635">
        <f t="shared" si="188"/>
        <v>0</v>
      </c>
      <c r="R1011" s="27"/>
      <c r="S1011" s="27"/>
      <c r="T1011" s="27"/>
    </row>
    <row r="1012" spans="1:20" ht="35.25" hidden="1" customHeight="1">
      <c r="C1012" s="1204" t="s">
        <v>51</v>
      </c>
      <c r="D1012" s="1204"/>
      <c r="E1012" s="1204"/>
      <c r="F1012" s="1204"/>
      <c r="H1012" s="1243" t="s">
        <v>11</v>
      </c>
      <c r="I1012" s="1244"/>
      <c r="J1012" s="1244"/>
      <c r="K1012" s="1245"/>
      <c r="L1012" s="337"/>
      <c r="M1012" s="337"/>
      <c r="N1012" s="337"/>
      <c r="O1012" s="640">
        <f t="shared" si="187"/>
        <v>0</v>
      </c>
      <c r="P1012" s="27"/>
      <c r="Q1012" s="635">
        <f t="shared" si="188"/>
        <v>0</v>
      </c>
      <c r="R1012" s="27"/>
      <c r="S1012" s="27"/>
      <c r="T1012" s="27"/>
    </row>
    <row r="1013" spans="1:20" ht="35.25" hidden="1" customHeight="1">
      <c r="C1013" s="1204" t="s">
        <v>52</v>
      </c>
      <c r="D1013" s="1204"/>
      <c r="E1013" s="1204"/>
      <c r="F1013" s="1204"/>
      <c r="G1013" s="44"/>
      <c r="H1013" s="1208" t="s">
        <v>21</v>
      </c>
      <c r="I1013" s="1209"/>
      <c r="J1013" s="1209"/>
      <c r="K1013" s="1210"/>
      <c r="L1013" s="336"/>
      <c r="M1013" s="336"/>
      <c r="N1013" s="336"/>
      <c r="O1013" s="640">
        <f t="shared" si="187"/>
        <v>0</v>
      </c>
      <c r="P1013" s="27"/>
      <c r="Q1013" s="635">
        <f t="shared" si="188"/>
        <v>0</v>
      </c>
      <c r="R1013" s="27"/>
      <c r="S1013" s="27"/>
      <c r="T1013" s="27"/>
    </row>
    <row r="1014" spans="1:20" ht="35.25" hidden="1" customHeight="1">
      <c r="C1014" s="1204" t="s">
        <v>50</v>
      </c>
      <c r="D1014" s="1204"/>
      <c r="E1014" s="1204"/>
      <c r="F1014" s="1204"/>
      <c r="G1014" s="44"/>
      <c r="H1014" s="1211"/>
      <c r="I1014" s="1212"/>
      <c r="J1014" s="1212"/>
      <c r="K1014" s="1213"/>
      <c r="L1014" s="336"/>
      <c r="M1014" s="336"/>
      <c r="N1014" s="336"/>
      <c r="O1014" s="640">
        <f t="shared" si="187"/>
        <v>0</v>
      </c>
      <c r="P1014" s="27"/>
      <c r="Q1014" s="635">
        <f t="shared" si="188"/>
        <v>0</v>
      </c>
      <c r="R1014" s="27"/>
      <c r="S1014" s="27"/>
      <c r="T1014" s="27"/>
    </row>
    <row r="1015" spans="1:20" ht="33.75" hidden="1" customHeight="1">
      <c r="C1015" s="1252"/>
      <c r="D1015" s="1252"/>
      <c r="E1015" s="1252"/>
      <c r="F1015" s="1252"/>
      <c r="G1015" s="44"/>
      <c r="H1015" s="1211" t="s">
        <v>22</v>
      </c>
      <c r="I1015" s="1212"/>
      <c r="J1015" s="1212"/>
      <c r="K1015" s="477">
        <f>K1057</f>
        <v>14317270</v>
      </c>
      <c r="L1015" s="336"/>
      <c r="M1015" s="336"/>
      <c r="N1015" s="86"/>
      <c r="O1015" s="640">
        <f t="shared" si="187"/>
        <v>0</v>
      </c>
      <c r="P1015" s="27"/>
      <c r="Q1015" s="635">
        <f t="shared" si="188"/>
        <v>0</v>
      </c>
      <c r="R1015" s="27"/>
      <c r="S1015" s="27"/>
      <c r="T1015" s="27"/>
    </row>
    <row r="1016" spans="1:20" ht="52.5" hidden="1" customHeight="1" thickBot="1">
      <c r="A1016" s="75"/>
      <c r="B1016" s="75"/>
      <c r="C1016" s="65"/>
      <c r="D1016" s="65"/>
      <c r="E1016" s="65"/>
      <c r="F1016" s="10"/>
      <c r="G1016" s="10"/>
      <c r="H1016" s="1283" t="s">
        <v>13</v>
      </c>
      <c r="I1016" s="1284"/>
      <c r="J1016" s="1284"/>
      <c r="K1016" s="1285"/>
      <c r="L1016" s="336"/>
      <c r="M1016" s="336"/>
      <c r="N1016" s="336"/>
      <c r="O1016" s="640">
        <f t="shared" si="187"/>
        <v>0</v>
      </c>
      <c r="P1016" s="27"/>
      <c r="Q1016" s="635">
        <f t="shared" si="188"/>
        <v>0</v>
      </c>
      <c r="R1016" s="27"/>
      <c r="S1016" s="27"/>
      <c r="T1016" s="27"/>
    </row>
    <row r="1017" spans="1:20" ht="17.100000000000001" hidden="1" customHeight="1">
      <c r="A1017" s="75"/>
      <c r="B1017" s="75"/>
      <c r="C1017" s="65"/>
      <c r="D1017" s="65"/>
      <c r="E1017" s="65"/>
      <c r="F1017" s="10"/>
      <c r="G1017" s="10"/>
      <c r="H1017" s="20"/>
      <c r="I1017" s="20"/>
      <c r="J1017" s="20"/>
      <c r="K1017" s="20"/>
      <c r="L1017" s="20"/>
      <c r="M1017" s="20"/>
      <c r="N1017" s="20"/>
      <c r="O1017" s="640">
        <f t="shared" si="187"/>
        <v>0</v>
      </c>
      <c r="P1017" s="27"/>
      <c r="Q1017" s="635">
        <f t="shared" si="188"/>
        <v>0</v>
      </c>
      <c r="R1017" s="27"/>
      <c r="S1017" s="27"/>
      <c r="T1017" s="27"/>
    </row>
    <row r="1018" spans="1:20" ht="30" hidden="1" customHeight="1">
      <c r="A1018" s="75"/>
      <c r="B1018" s="75"/>
      <c r="C1018" s="65"/>
      <c r="D1018" s="65"/>
      <c r="E1018" s="65"/>
      <c r="F1018" s="10"/>
      <c r="G1018" s="10"/>
      <c r="L1018" s="11"/>
      <c r="M1018" s="10"/>
      <c r="N1018" s="11"/>
      <c r="O1018" s="640">
        <f t="shared" si="187"/>
        <v>0</v>
      </c>
      <c r="P1018" s="27"/>
      <c r="Q1018" s="635">
        <f t="shared" si="188"/>
        <v>0</v>
      </c>
      <c r="R1018" s="27"/>
      <c r="S1018" s="27"/>
      <c r="T1018" s="27"/>
    </row>
    <row r="1019" spans="1:20" ht="39.950000000000003" hidden="1" customHeight="1">
      <c r="A1019" s="346"/>
      <c r="B1019" s="1226" t="s">
        <v>1037</v>
      </c>
      <c r="C1019" s="1226"/>
      <c r="D1019" s="1226"/>
      <c r="E1019" s="1226"/>
      <c r="F1019" s="1226"/>
      <c r="G1019" s="1226"/>
      <c r="H1019" s="1226"/>
      <c r="I1019" s="1226"/>
      <c r="J1019" s="1226"/>
      <c r="K1019" s="1226"/>
      <c r="L1019" s="346"/>
      <c r="M1019" s="346"/>
      <c r="N1019" s="346"/>
      <c r="O1019" s="640">
        <f t="shared" si="187"/>
        <v>0</v>
      </c>
      <c r="P1019" s="27"/>
      <c r="Q1019" s="635">
        <f t="shared" si="188"/>
        <v>0</v>
      </c>
      <c r="R1019" s="27"/>
      <c r="S1019" s="27"/>
      <c r="T1019" s="27"/>
    </row>
    <row r="1020" spans="1:20" ht="20.100000000000001" hidden="1" customHeight="1">
      <c r="A1020" s="46"/>
      <c r="B1020" s="46"/>
      <c r="C1020" s="46"/>
      <c r="D1020" s="46"/>
      <c r="E1020" s="46"/>
      <c r="F1020" s="46"/>
      <c r="G1020" s="46"/>
      <c r="H1020" s="46"/>
      <c r="I1020" s="46"/>
      <c r="J1020" s="46"/>
      <c r="K1020" s="46"/>
      <c r="L1020" s="46"/>
      <c r="M1020" s="46"/>
      <c r="N1020" s="46"/>
      <c r="O1020" s="640">
        <f t="shared" si="187"/>
        <v>0</v>
      </c>
      <c r="P1020" s="27"/>
      <c r="Q1020" s="635">
        <f t="shared" si="188"/>
        <v>0</v>
      </c>
      <c r="R1020" s="27"/>
      <c r="S1020" s="27"/>
      <c r="T1020" s="27"/>
    </row>
    <row r="1021" spans="1:20" s="500" customFormat="1" ht="90" hidden="1">
      <c r="A1021" s="496" t="s">
        <v>14</v>
      </c>
      <c r="B1021" s="497" t="s">
        <v>14</v>
      </c>
      <c r="C1021" s="497" t="s">
        <v>37</v>
      </c>
      <c r="D1021" s="497" t="s">
        <v>440</v>
      </c>
      <c r="E1021" s="497" t="s">
        <v>16</v>
      </c>
      <c r="F1021" s="497" t="s">
        <v>185</v>
      </c>
      <c r="G1021" s="497" t="s">
        <v>178</v>
      </c>
      <c r="H1021" s="497" t="s">
        <v>179</v>
      </c>
      <c r="I1021" s="497" t="s">
        <v>180</v>
      </c>
      <c r="J1021" s="497" t="s">
        <v>1275</v>
      </c>
      <c r="K1021" s="497" t="s">
        <v>200</v>
      </c>
      <c r="L1021" s="496" t="s">
        <v>180</v>
      </c>
      <c r="M1021" s="496" t="s">
        <v>181</v>
      </c>
      <c r="N1021" s="496" t="s">
        <v>200</v>
      </c>
      <c r="O1021" s="640" t="e">
        <f t="shared" si="187"/>
        <v>#VALUE!</v>
      </c>
      <c r="P1021" s="498"/>
      <c r="Q1021" s="635" t="e">
        <f t="shared" si="188"/>
        <v>#VALUE!</v>
      </c>
      <c r="R1021" s="498"/>
      <c r="S1021" s="498"/>
      <c r="T1021" s="499"/>
    </row>
    <row r="1022" spans="1:20" s="579" customFormat="1" ht="46.5" customHeight="1">
      <c r="A1022" s="572"/>
      <c r="B1022" s="572"/>
      <c r="C1022" s="573" t="s">
        <v>71</v>
      </c>
      <c r="D1022" s="574"/>
      <c r="E1022" s="574"/>
      <c r="F1022" s="575" t="s">
        <v>111</v>
      </c>
      <c r="G1022" s="576"/>
      <c r="H1022" s="576"/>
      <c r="I1022" s="577">
        <f>SUM(I1023,I1025,I1029,I1032,I1027)</f>
        <v>164976</v>
      </c>
      <c r="J1022" s="577">
        <f>SUM(J1023,J1025,J1029,J1032,J1027)</f>
        <v>32368</v>
      </c>
      <c r="K1022" s="577">
        <f>I1022+J1022</f>
        <v>197344</v>
      </c>
      <c r="L1022" s="578">
        <f>SUM(L1023,L1025,L1029,L1032,L1027)</f>
        <v>164976</v>
      </c>
      <c r="M1022" s="578">
        <f>SUM(M1023,M1025,M1029,M1032,M1027)</f>
        <v>32368</v>
      </c>
      <c r="N1022" s="578">
        <f>SUM(N1023,N1025,N1029,N1032)</f>
        <v>187344</v>
      </c>
      <c r="O1022" s="644">
        <f t="shared" si="187"/>
        <v>12947.2</v>
      </c>
      <c r="Q1022" s="635">
        <f t="shared" si="188"/>
        <v>12947.2</v>
      </c>
    </row>
    <row r="1023" spans="1:20" s="510" customFormat="1" ht="72" hidden="1" customHeight="1">
      <c r="A1023" s="501"/>
      <c r="B1023" s="502"/>
      <c r="C1023" s="503" t="s">
        <v>141</v>
      </c>
      <c r="D1023" s="504"/>
      <c r="E1023" s="505"/>
      <c r="F1023" s="504"/>
      <c r="G1023" s="504"/>
      <c r="H1023" s="504"/>
      <c r="I1023" s="506">
        <f>SUM(I1024)</f>
        <v>146433</v>
      </c>
      <c r="J1023" s="506">
        <f>SUM(J1024)</f>
        <v>0</v>
      </c>
      <c r="K1023" s="506">
        <f>I1023+J1023</f>
        <v>146433</v>
      </c>
      <c r="L1023" s="507">
        <f>SUM(L1024)</f>
        <v>146433</v>
      </c>
      <c r="M1023" s="507"/>
      <c r="N1023" s="507">
        <f>L1023+M1023</f>
        <v>146433</v>
      </c>
      <c r="O1023" s="640">
        <f t="shared" si="187"/>
        <v>0</v>
      </c>
      <c r="P1023" s="508"/>
      <c r="Q1023" s="635">
        <f t="shared" si="188"/>
        <v>0</v>
      </c>
      <c r="R1023" s="508"/>
      <c r="S1023" s="508"/>
      <c r="T1023" s="509"/>
    </row>
    <row r="1024" spans="1:20" ht="54.75" hidden="1" customHeight="1">
      <c r="A1024" s="273" t="s">
        <v>614</v>
      </c>
      <c r="B1024" s="481" t="s">
        <v>1173</v>
      </c>
      <c r="C1024" s="490" t="s">
        <v>317</v>
      </c>
      <c r="D1024" s="483">
        <v>8100</v>
      </c>
      <c r="E1024" s="484">
        <v>108288</v>
      </c>
      <c r="F1024" s="526" t="s">
        <v>72</v>
      </c>
      <c r="G1024" s="488" t="s">
        <v>143</v>
      </c>
      <c r="H1024" s="489">
        <v>1077</v>
      </c>
      <c r="I1024" s="473">
        <f>INT(L1024*$Q$139)</f>
        <v>146433</v>
      </c>
      <c r="J1024" s="473">
        <f>INT(M1024*$R$139)</f>
        <v>0</v>
      </c>
      <c r="K1024" s="473">
        <f>SUM(I1024:J1024)</f>
        <v>146433</v>
      </c>
      <c r="L1024" s="167">
        <v>146433</v>
      </c>
      <c r="M1024" s="167"/>
      <c r="N1024" s="167">
        <f>SUM(L1024,M1024)</f>
        <v>146433</v>
      </c>
      <c r="O1024" s="640">
        <f t="shared" si="187"/>
        <v>0</v>
      </c>
      <c r="P1024" s="405"/>
      <c r="Q1024" s="635">
        <f t="shared" si="188"/>
        <v>0</v>
      </c>
    </row>
    <row r="1025" spans="1:20" s="510" customFormat="1" ht="72" hidden="1" customHeight="1">
      <c r="A1025" s="501"/>
      <c r="B1025" s="502"/>
      <c r="C1025" s="503" t="s">
        <v>310</v>
      </c>
      <c r="D1025" s="504"/>
      <c r="E1025" s="505"/>
      <c r="F1025" s="504"/>
      <c r="G1025" s="504"/>
      <c r="H1025" s="504"/>
      <c r="I1025" s="506">
        <f t="shared" ref="I1025:M1027" si="190">SUM(I1026:I1026)</f>
        <v>0</v>
      </c>
      <c r="J1025" s="506">
        <f t="shared" si="190"/>
        <v>22368</v>
      </c>
      <c r="K1025" s="506">
        <f>I1025+J1025</f>
        <v>22368</v>
      </c>
      <c r="L1025" s="507">
        <f t="shared" si="190"/>
        <v>0</v>
      </c>
      <c r="M1025" s="507">
        <f t="shared" si="190"/>
        <v>22368</v>
      </c>
      <c r="N1025" s="507">
        <f>L1025+M1025</f>
        <v>22368</v>
      </c>
      <c r="O1025" s="640">
        <f t="shared" si="187"/>
        <v>8947.2000000000007</v>
      </c>
      <c r="P1025" s="508"/>
      <c r="Q1025" s="635">
        <f t="shared" si="188"/>
        <v>8947.2000000000007</v>
      </c>
      <c r="R1025" s="508"/>
      <c r="S1025" s="508"/>
      <c r="T1025" s="509"/>
    </row>
    <row r="1026" spans="1:20" ht="54.75" customHeight="1">
      <c r="A1026" s="273" t="s">
        <v>616</v>
      </c>
      <c r="B1026" s="481" t="s">
        <v>1027</v>
      </c>
      <c r="C1026" s="490" t="s">
        <v>681</v>
      </c>
      <c r="D1026" s="483">
        <v>8100</v>
      </c>
      <c r="E1026" s="484">
        <v>108288</v>
      </c>
      <c r="F1026" s="526" t="s">
        <v>72</v>
      </c>
      <c r="G1026" s="488" t="s">
        <v>1075</v>
      </c>
      <c r="H1026" s="489">
        <v>1</v>
      </c>
      <c r="I1026" s="473">
        <f>INT(L1026*$Q$139)</f>
        <v>0</v>
      </c>
      <c r="J1026" s="473">
        <f>INT(M1026*$R$139)</f>
        <v>22368</v>
      </c>
      <c r="K1026" s="473">
        <f>SUM(I1026:J1026)</f>
        <v>22368</v>
      </c>
      <c r="L1026" s="167">
        <v>0</v>
      </c>
      <c r="M1026" s="167">
        <v>22368</v>
      </c>
      <c r="N1026" s="167">
        <f>SUM(L1026,M1026)</f>
        <v>22368</v>
      </c>
      <c r="O1026" s="640">
        <f t="shared" si="187"/>
        <v>8947.2000000000007</v>
      </c>
      <c r="P1026" s="405"/>
      <c r="Q1026" s="635">
        <f t="shared" si="188"/>
        <v>8947.2000000000007</v>
      </c>
    </row>
    <row r="1027" spans="1:20" s="510" customFormat="1" ht="72" hidden="1" customHeight="1">
      <c r="A1027" s="501"/>
      <c r="B1027" s="502"/>
      <c r="C1027" s="503" t="s">
        <v>278</v>
      </c>
      <c r="D1027" s="504"/>
      <c r="E1027" s="505"/>
      <c r="F1027" s="504"/>
      <c r="G1027" s="504"/>
      <c r="H1027" s="504"/>
      <c r="I1027" s="506">
        <f t="shared" si="190"/>
        <v>10000</v>
      </c>
      <c r="J1027" s="506">
        <f t="shared" si="190"/>
        <v>0</v>
      </c>
      <c r="K1027" s="506">
        <f>I1027+J1027</f>
        <v>10000</v>
      </c>
      <c r="L1027" s="507">
        <f t="shared" si="190"/>
        <v>10000</v>
      </c>
      <c r="M1027" s="507">
        <f t="shared" si="190"/>
        <v>0</v>
      </c>
      <c r="N1027" s="507">
        <f>L1027+M1027</f>
        <v>10000</v>
      </c>
      <c r="O1027" s="640">
        <f t="shared" si="187"/>
        <v>0</v>
      </c>
      <c r="P1027" s="508"/>
      <c r="Q1027" s="635">
        <f t="shared" si="188"/>
        <v>0</v>
      </c>
      <c r="R1027" s="508"/>
      <c r="S1027" s="508"/>
      <c r="T1027" s="509"/>
    </row>
    <row r="1028" spans="1:20" ht="54.75" hidden="1" customHeight="1">
      <c r="A1028" s="273" t="s">
        <v>653</v>
      </c>
      <c r="B1028" s="481" t="s">
        <v>1031</v>
      </c>
      <c r="C1028" s="490" t="s">
        <v>319</v>
      </c>
      <c r="D1028" s="483">
        <v>8100</v>
      </c>
      <c r="E1028" s="484" t="s">
        <v>686</v>
      </c>
      <c r="F1028" s="526" t="s">
        <v>72</v>
      </c>
      <c r="G1028" s="488" t="s">
        <v>725</v>
      </c>
      <c r="H1028" s="489">
        <v>1</v>
      </c>
      <c r="I1028" s="473">
        <f>INT(L1028*$Q$139)</f>
        <v>10000</v>
      </c>
      <c r="J1028" s="473">
        <f>INT(M1028*$R$139)</f>
        <v>0</v>
      </c>
      <c r="K1028" s="473">
        <f>SUM(I1028:J1028)</f>
        <v>10000</v>
      </c>
      <c r="L1028" s="167">
        <v>10000</v>
      </c>
      <c r="M1028" s="167"/>
      <c r="N1028" s="167">
        <f>SUM(L1028,M1028)</f>
        <v>10000</v>
      </c>
      <c r="O1028" s="640">
        <f t="shared" si="187"/>
        <v>0</v>
      </c>
      <c r="P1028" s="405"/>
      <c r="Q1028" s="635">
        <f t="shared" si="188"/>
        <v>0</v>
      </c>
    </row>
    <row r="1029" spans="1:20" ht="41.25" hidden="1" customHeight="1">
      <c r="A1029" s="149"/>
      <c r="B1029" s="149"/>
      <c r="C1029" s="143" t="s">
        <v>274</v>
      </c>
      <c r="D1029" s="144"/>
      <c r="E1029" s="144"/>
      <c r="F1029" s="137"/>
      <c r="G1029" s="143"/>
      <c r="H1029" s="135"/>
      <c r="I1029" s="391">
        <f t="shared" ref="I1029:N1029" si="191">SUM(I1030:I1031)</f>
        <v>0</v>
      </c>
      <c r="J1029" s="391">
        <f t="shared" si="191"/>
        <v>0</v>
      </c>
      <c r="K1029" s="391">
        <f t="shared" si="191"/>
        <v>0</v>
      </c>
      <c r="L1029" s="391">
        <f t="shared" si="191"/>
        <v>0</v>
      </c>
      <c r="M1029" s="391">
        <f t="shared" si="191"/>
        <v>0</v>
      </c>
      <c r="N1029" s="391">
        <f t="shared" si="191"/>
        <v>0</v>
      </c>
      <c r="O1029" s="640">
        <f t="shared" si="187"/>
        <v>0</v>
      </c>
      <c r="Q1029" s="635">
        <f t="shared" si="188"/>
        <v>0</v>
      </c>
    </row>
    <row r="1030" spans="1:20" ht="48.75" hidden="1" customHeight="1">
      <c r="A1030" s="273" t="s">
        <v>835</v>
      </c>
      <c r="B1030" s="273" t="s">
        <v>835</v>
      </c>
      <c r="C1030" s="183" t="s">
        <v>681</v>
      </c>
      <c r="D1030" s="228">
        <v>112</v>
      </c>
      <c r="E1030" s="229" t="s">
        <v>795</v>
      </c>
      <c r="F1030" s="230" t="s">
        <v>72</v>
      </c>
      <c r="G1030" s="237" t="s">
        <v>725</v>
      </c>
      <c r="H1030" s="251">
        <v>1</v>
      </c>
      <c r="I1030" s="388">
        <f>INT(L1030*$Q$139)</f>
        <v>0</v>
      </c>
      <c r="J1030" s="388">
        <f>INT(M1030*$R$139)</f>
        <v>0</v>
      </c>
      <c r="K1030" s="388">
        <f>SUM(I1030:J1030)</f>
        <v>0</v>
      </c>
      <c r="L1030" s="167"/>
      <c r="M1030" s="167"/>
      <c r="N1030" s="167">
        <f>SUM(L1030,M1030)</f>
        <v>0</v>
      </c>
      <c r="O1030" s="640">
        <f t="shared" si="187"/>
        <v>0</v>
      </c>
      <c r="Q1030" s="635">
        <f t="shared" si="188"/>
        <v>0</v>
      </c>
    </row>
    <row r="1031" spans="1:20" ht="48.75" hidden="1" customHeight="1">
      <c r="A1031" s="273" t="s">
        <v>837</v>
      </c>
      <c r="B1031" s="273" t="s">
        <v>837</v>
      </c>
      <c r="C1031" s="241" t="s">
        <v>316</v>
      </c>
      <c r="D1031" s="228">
        <v>112</v>
      </c>
      <c r="E1031" s="229" t="s">
        <v>795</v>
      </c>
      <c r="F1031" s="230" t="s">
        <v>72</v>
      </c>
      <c r="G1031" s="242" t="s">
        <v>315</v>
      </c>
      <c r="H1031" s="251">
        <v>1</v>
      </c>
      <c r="I1031" s="388">
        <f>INT(L1031*$Q$139)</f>
        <v>0</v>
      </c>
      <c r="J1031" s="388">
        <f>INT(M1031*$R$139)</f>
        <v>0</v>
      </c>
      <c r="K1031" s="388">
        <f>SUM(I1031:J1031)</f>
        <v>0</v>
      </c>
      <c r="L1031" s="167"/>
      <c r="M1031" s="167"/>
      <c r="N1031" s="167">
        <f>SUM(L1031,M1031)</f>
        <v>0</v>
      </c>
      <c r="O1031" s="640">
        <f t="shared" si="187"/>
        <v>0</v>
      </c>
      <c r="Q1031" s="635">
        <f t="shared" si="188"/>
        <v>0</v>
      </c>
    </row>
    <row r="1032" spans="1:20" s="510" customFormat="1" ht="72" hidden="1" customHeight="1">
      <c r="A1032" s="501"/>
      <c r="B1032" s="502"/>
      <c r="C1032" s="503" t="s">
        <v>312</v>
      </c>
      <c r="D1032" s="504"/>
      <c r="E1032" s="505"/>
      <c r="F1032" s="504"/>
      <c r="G1032" s="504"/>
      <c r="H1032" s="504"/>
      <c r="I1032" s="506">
        <f>SUM(I1033,I1034)</f>
        <v>8543</v>
      </c>
      <c r="J1032" s="506">
        <f>SUM(J1033,J1034)</f>
        <v>10000</v>
      </c>
      <c r="K1032" s="506">
        <f>I1032+J1032</f>
        <v>18543</v>
      </c>
      <c r="L1032" s="507">
        <f>SUM(L1033,L1034)</f>
        <v>8543</v>
      </c>
      <c r="M1032" s="507">
        <f>SUM(M1033,M1034)</f>
        <v>10000</v>
      </c>
      <c r="N1032" s="507">
        <f>L1032+M1032</f>
        <v>18543</v>
      </c>
      <c r="O1032" s="640">
        <f t="shared" si="187"/>
        <v>4000</v>
      </c>
      <c r="P1032" s="508"/>
      <c r="Q1032" s="635">
        <f t="shared" si="188"/>
        <v>4000</v>
      </c>
      <c r="R1032" s="508"/>
      <c r="S1032" s="508"/>
      <c r="T1032" s="509"/>
    </row>
    <row r="1033" spans="1:20" ht="54.75" customHeight="1">
      <c r="A1033" s="273" t="s">
        <v>631</v>
      </c>
      <c r="B1033" s="481" t="s">
        <v>1030</v>
      </c>
      <c r="C1033" s="490" t="s">
        <v>316</v>
      </c>
      <c r="D1033" s="483">
        <v>8100</v>
      </c>
      <c r="E1033" s="484">
        <v>108288</v>
      </c>
      <c r="F1033" s="526" t="s">
        <v>72</v>
      </c>
      <c r="G1033" s="488" t="s">
        <v>315</v>
      </c>
      <c r="H1033" s="489">
        <v>1</v>
      </c>
      <c r="I1033" s="473">
        <f>INT(L1033*$Q$139)</f>
        <v>8543</v>
      </c>
      <c r="J1033" s="473">
        <f>INT(M1033*$R$139)</f>
        <v>10000</v>
      </c>
      <c r="K1033" s="473">
        <f>SUM(I1033:J1033)</f>
        <v>18543</v>
      </c>
      <c r="L1033" s="167">
        <v>8543</v>
      </c>
      <c r="M1033" s="167">
        <v>10000</v>
      </c>
      <c r="N1033" s="167">
        <f>SUM(L1033,M1033)</f>
        <v>18543</v>
      </c>
      <c r="O1033" s="640">
        <f t="shared" si="187"/>
        <v>4000</v>
      </c>
      <c r="P1033" s="405"/>
      <c r="Q1033" s="635">
        <f t="shared" si="188"/>
        <v>4000</v>
      </c>
    </row>
    <row r="1034" spans="1:20" ht="54.75" hidden="1" customHeight="1">
      <c r="A1034" s="273" t="s">
        <v>631</v>
      </c>
      <c r="B1034" s="481" t="s">
        <v>1188</v>
      </c>
      <c r="C1034" s="490" t="s">
        <v>1187</v>
      </c>
      <c r="D1034" s="483">
        <v>112</v>
      </c>
      <c r="E1034" s="484">
        <v>108288</v>
      </c>
      <c r="F1034" s="526" t="s">
        <v>72</v>
      </c>
      <c r="G1034" s="488" t="s">
        <v>1075</v>
      </c>
      <c r="H1034" s="489"/>
      <c r="I1034" s="473">
        <f>INT(L1034*$Q$139)</f>
        <v>0</v>
      </c>
      <c r="J1034" s="473">
        <f>INT(M1034*$R$139)</f>
        <v>0</v>
      </c>
      <c r="K1034" s="473">
        <f>SUM(I1034:J1034)</f>
        <v>0</v>
      </c>
      <c r="L1034" s="167"/>
      <c r="M1034" s="167"/>
      <c r="N1034" s="167">
        <f>SUM(L1034,M1034)</f>
        <v>0</v>
      </c>
      <c r="O1034" s="640">
        <f t="shared" si="187"/>
        <v>0</v>
      </c>
      <c r="P1034" s="405"/>
      <c r="Q1034" s="635">
        <f t="shared" si="188"/>
        <v>0</v>
      </c>
    </row>
    <row r="1035" spans="1:20" s="579" customFormat="1" ht="46.5" customHeight="1">
      <c r="A1035" s="572"/>
      <c r="B1035" s="572"/>
      <c r="C1035" s="573" t="s">
        <v>95</v>
      </c>
      <c r="D1035" s="574"/>
      <c r="E1035" s="574"/>
      <c r="F1035" s="575" t="s">
        <v>112</v>
      </c>
      <c r="G1035" s="576"/>
      <c r="H1035" s="576"/>
      <c r="I1035" s="577">
        <f>SUM(I1036,I1038,I1041,I1044)</f>
        <v>433629</v>
      </c>
      <c r="J1035" s="577">
        <f>SUM(J1036,J1038,J1041,J1044)</f>
        <v>31410</v>
      </c>
      <c r="K1035" s="577">
        <f>I1035+J1035</f>
        <v>465039</v>
      </c>
      <c r="L1035" s="578">
        <f>SUM(L1036,L1038,L1041,L1044)</f>
        <v>433629</v>
      </c>
      <c r="M1035" s="578">
        <f>SUM(M1036,M1038,M1041,M1044)</f>
        <v>31410</v>
      </c>
      <c r="N1035" s="578">
        <f>L1035+M1035</f>
        <v>465039</v>
      </c>
      <c r="O1035" s="644">
        <f t="shared" si="187"/>
        <v>12564</v>
      </c>
      <c r="Q1035" s="635">
        <f t="shared" si="188"/>
        <v>12564</v>
      </c>
    </row>
    <row r="1036" spans="1:20" s="510" customFormat="1" ht="72" hidden="1" customHeight="1">
      <c r="A1036" s="501"/>
      <c r="B1036" s="502"/>
      <c r="C1036" s="503" t="s">
        <v>141</v>
      </c>
      <c r="D1036" s="504"/>
      <c r="E1036" s="505"/>
      <c r="F1036" s="504"/>
      <c r="G1036" s="504"/>
      <c r="H1036" s="504"/>
      <c r="I1036" s="506">
        <f>SUM(I1037)</f>
        <v>348629</v>
      </c>
      <c r="J1036" s="506">
        <f>SUM(J1037)</f>
        <v>0</v>
      </c>
      <c r="K1036" s="506">
        <f>I1036+J1036</f>
        <v>348629</v>
      </c>
      <c r="L1036" s="507">
        <f>SUM(L1037)</f>
        <v>348629</v>
      </c>
      <c r="M1036" s="507">
        <f>SUM(M1037)</f>
        <v>0</v>
      </c>
      <c r="N1036" s="507">
        <f>L1036+M1036</f>
        <v>348629</v>
      </c>
      <c r="O1036" s="640">
        <f t="shared" si="187"/>
        <v>0</v>
      </c>
      <c r="P1036" s="508"/>
      <c r="Q1036" s="635">
        <f t="shared" si="188"/>
        <v>0</v>
      </c>
      <c r="R1036" s="508"/>
      <c r="S1036" s="508"/>
      <c r="T1036" s="509"/>
    </row>
    <row r="1037" spans="1:20" ht="54.75" hidden="1" customHeight="1">
      <c r="A1037" s="273" t="s">
        <v>614</v>
      </c>
      <c r="B1037" s="481" t="s">
        <v>1173</v>
      </c>
      <c r="C1037" s="490" t="s">
        <v>317</v>
      </c>
      <c r="D1037" s="483">
        <v>8100</v>
      </c>
      <c r="E1037" s="484">
        <v>108288</v>
      </c>
      <c r="F1037" s="526" t="s">
        <v>90</v>
      </c>
      <c r="G1037" s="488" t="s">
        <v>143</v>
      </c>
      <c r="H1037" s="489">
        <v>1443</v>
      </c>
      <c r="I1037" s="473">
        <f>INT(L1037*$Q$139)</f>
        <v>348629</v>
      </c>
      <c r="J1037" s="473">
        <f>INT(M1037*$R$139)</f>
        <v>0</v>
      </c>
      <c r="K1037" s="473">
        <f>SUM(I1037:J1037)</f>
        <v>348629</v>
      </c>
      <c r="L1037" s="167">
        <v>348629</v>
      </c>
      <c r="M1037" s="167"/>
      <c r="N1037" s="167">
        <f>SUM(L1037,M1037)</f>
        <v>348629</v>
      </c>
      <c r="O1037" s="640">
        <f t="shared" si="187"/>
        <v>0</v>
      </c>
      <c r="P1037" s="405"/>
      <c r="Q1037" s="635">
        <f t="shared" si="188"/>
        <v>0</v>
      </c>
    </row>
    <row r="1038" spans="1:20" s="510" customFormat="1" ht="72" hidden="1" customHeight="1">
      <c r="A1038" s="501"/>
      <c r="B1038" s="502"/>
      <c r="C1038" s="503" t="s">
        <v>310</v>
      </c>
      <c r="D1038" s="504"/>
      <c r="E1038" s="505"/>
      <c r="F1038" s="504"/>
      <c r="G1038" s="504"/>
      <c r="H1038" s="504"/>
      <c r="I1038" s="506">
        <f>SUM(I1039:I1040)</f>
        <v>45000</v>
      </c>
      <c r="J1038" s="506">
        <f>SUM(J1039:J1040)</f>
        <v>22623</v>
      </c>
      <c r="K1038" s="506">
        <f>I1038+J1038</f>
        <v>67623</v>
      </c>
      <c r="L1038" s="507">
        <f>SUM(L1039:L1040)</f>
        <v>45000</v>
      </c>
      <c r="M1038" s="507">
        <f>SUM(M1039:M1040)</f>
        <v>22623</v>
      </c>
      <c r="N1038" s="507">
        <f>L1038+M1038</f>
        <v>67623</v>
      </c>
      <c r="O1038" s="640">
        <f t="shared" si="187"/>
        <v>9049.1999999999989</v>
      </c>
      <c r="P1038" s="508"/>
      <c r="Q1038" s="635">
        <f t="shared" si="188"/>
        <v>9049.2000000000007</v>
      </c>
      <c r="R1038" s="508"/>
      <c r="S1038" s="508"/>
      <c r="T1038" s="509"/>
    </row>
    <row r="1039" spans="1:20" ht="54.75" customHeight="1">
      <c r="A1039" s="273" t="s">
        <v>616</v>
      </c>
      <c r="B1039" s="481" t="s">
        <v>1027</v>
      </c>
      <c r="C1039" s="490" t="s">
        <v>681</v>
      </c>
      <c r="D1039" s="483">
        <v>8100</v>
      </c>
      <c r="E1039" s="484">
        <v>108288</v>
      </c>
      <c r="F1039" s="526" t="s">
        <v>90</v>
      </c>
      <c r="G1039" s="488" t="s">
        <v>725</v>
      </c>
      <c r="H1039" s="489">
        <v>1</v>
      </c>
      <c r="I1039" s="473">
        <f>INT(L1039*$Q$139)</f>
        <v>45000</v>
      </c>
      <c r="J1039" s="473">
        <f>INT(M1039*$R$139)</f>
        <v>22623</v>
      </c>
      <c r="K1039" s="473">
        <f>SUM(I1039:J1039)</f>
        <v>67623</v>
      </c>
      <c r="L1039" s="167">
        <v>45000</v>
      </c>
      <c r="M1039" s="167">
        <v>22623</v>
      </c>
      <c r="N1039" s="167">
        <f>SUM(L1039,M1039)</f>
        <v>67623</v>
      </c>
      <c r="O1039" s="640">
        <f t="shared" si="187"/>
        <v>9049.1999999999989</v>
      </c>
      <c r="P1039" s="405"/>
      <c r="Q1039" s="635">
        <f t="shared" si="188"/>
        <v>9049.2000000000007</v>
      </c>
    </row>
    <row r="1040" spans="1:20" ht="54.75" hidden="1" customHeight="1">
      <c r="A1040" s="273" t="s">
        <v>616</v>
      </c>
      <c r="B1040" s="481" t="s">
        <v>1186</v>
      </c>
      <c r="C1040" s="490" t="s">
        <v>1074</v>
      </c>
      <c r="D1040" s="483">
        <v>112</v>
      </c>
      <c r="E1040" s="484">
        <v>108288</v>
      </c>
      <c r="F1040" s="526" t="s">
        <v>90</v>
      </c>
      <c r="G1040" s="488" t="s">
        <v>1075</v>
      </c>
      <c r="H1040" s="489">
        <v>2</v>
      </c>
      <c r="I1040" s="473">
        <f>INT(L1040*$Q$139)</f>
        <v>0</v>
      </c>
      <c r="J1040" s="473">
        <f>INT(M1040*$R$139)</f>
        <v>0</v>
      </c>
      <c r="K1040" s="473">
        <f>SUM(I1040:J1040)</f>
        <v>0</v>
      </c>
      <c r="L1040" s="167"/>
      <c r="M1040" s="167"/>
      <c r="N1040" s="167">
        <f>SUM(L1040,M1040)</f>
        <v>0</v>
      </c>
      <c r="O1040" s="640">
        <f t="shared" si="187"/>
        <v>0</v>
      </c>
      <c r="P1040" s="405"/>
      <c r="Q1040" s="635">
        <f t="shared" si="188"/>
        <v>0</v>
      </c>
    </row>
    <row r="1041" spans="1:20" ht="41.25" hidden="1" customHeight="1">
      <c r="A1041" s="149"/>
      <c r="B1041" s="434"/>
      <c r="C1041" s="143" t="s">
        <v>274</v>
      </c>
      <c r="D1041" s="144"/>
      <c r="E1041" s="144"/>
      <c r="F1041" s="137"/>
      <c r="G1041" s="143"/>
      <c r="H1041" s="135"/>
      <c r="I1041" s="391">
        <f t="shared" ref="I1041:N1041" si="192">SUM(I1042:I1043)</f>
        <v>0</v>
      </c>
      <c r="J1041" s="391">
        <f t="shared" si="192"/>
        <v>0</v>
      </c>
      <c r="K1041" s="391">
        <f t="shared" si="192"/>
        <v>0</v>
      </c>
      <c r="L1041" s="391">
        <f t="shared" si="192"/>
        <v>0</v>
      </c>
      <c r="M1041" s="391">
        <f t="shared" si="192"/>
        <v>0</v>
      </c>
      <c r="N1041" s="391">
        <f t="shared" si="192"/>
        <v>0</v>
      </c>
      <c r="O1041" s="640">
        <f t="shared" si="187"/>
        <v>0</v>
      </c>
      <c r="Q1041" s="635">
        <f t="shared" si="188"/>
        <v>0</v>
      </c>
    </row>
    <row r="1042" spans="1:20" ht="48.75" hidden="1" customHeight="1">
      <c r="A1042" s="443" t="s">
        <v>835</v>
      </c>
      <c r="B1042" s="443" t="s">
        <v>835</v>
      </c>
      <c r="C1042" s="183" t="s">
        <v>681</v>
      </c>
      <c r="D1042" s="228">
        <v>112</v>
      </c>
      <c r="E1042" s="229" t="s">
        <v>795</v>
      </c>
      <c r="F1042" s="230" t="s">
        <v>90</v>
      </c>
      <c r="G1042" s="237" t="s">
        <v>725</v>
      </c>
      <c r="H1042" s="251">
        <v>1</v>
      </c>
      <c r="I1042" s="388">
        <f>INT(L1042*$Q$139)</f>
        <v>0</v>
      </c>
      <c r="J1042" s="388">
        <f>INT(M1042*$R$139)</f>
        <v>0</v>
      </c>
      <c r="K1042" s="388">
        <f>SUM(I1042:J1042)</f>
        <v>0</v>
      </c>
      <c r="L1042" s="167"/>
      <c r="M1042" s="168"/>
      <c r="N1042" s="167">
        <f>SUM(L1042,M1042)</f>
        <v>0</v>
      </c>
      <c r="O1042" s="640">
        <f t="shared" si="187"/>
        <v>0</v>
      </c>
      <c r="Q1042" s="635">
        <f t="shared" si="188"/>
        <v>0</v>
      </c>
    </row>
    <row r="1043" spans="1:20" ht="48.75" hidden="1" customHeight="1">
      <c r="A1043" s="443" t="s">
        <v>837</v>
      </c>
      <c r="B1043" s="443" t="s">
        <v>837</v>
      </c>
      <c r="C1043" s="241" t="s">
        <v>316</v>
      </c>
      <c r="D1043" s="228">
        <v>112</v>
      </c>
      <c r="E1043" s="229" t="s">
        <v>795</v>
      </c>
      <c r="F1043" s="230" t="s">
        <v>90</v>
      </c>
      <c r="G1043" s="242" t="s">
        <v>315</v>
      </c>
      <c r="H1043" s="251">
        <v>1</v>
      </c>
      <c r="I1043" s="388">
        <f>INT(L1043*$Q$139)</f>
        <v>0</v>
      </c>
      <c r="J1043" s="388">
        <f>INT(M1043*$R$139)</f>
        <v>0</v>
      </c>
      <c r="K1043" s="388">
        <f>SUM(I1043:J1043)</f>
        <v>0</v>
      </c>
      <c r="L1043" s="167"/>
      <c r="M1043" s="167"/>
      <c r="N1043" s="167">
        <f>SUM(L1043,M1043)</f>
        <v>0</v>
      </c>
      <c r="O1043" s="640">
        <f t="shared" si="187"/>
        <v>0</v>
      </c>
      <c r="Q1043" s="635">
        <f t="shared" si="188"/>
        <v>0</v>
      </c>
    </row>
    <row r="1044" spans="1:20" s="510" customFormat="1" ht="72" hidden="1" customHeight="1">
      <c r="A1044" s="501"/>
      <c r="B1044" s="502"/>
      <c r="C1044" s="503" t="s">
        <v>312</v>
      </c>
      <c r="D1044" s="504"/>
      <c r="E1044" s="505"/>
      <c r="F1044" s="504"/>
      <c r="G1044" s="504"/>
      <c r="H1044" s="504"/>
      <c r="I1044" s="506">
        <f>SUM(I1045,I1046)</f>
        <v>40000</v>
      </c>
      <c r="J1044" s="506">
        <f>SUM(J1045,J1046)</f>
        <v>8787</v>
      </c>
      <c r="K1044" s="506">
        <f>I1044+J1044</f>
        <v>48787</v>
      </c>
      <c r="L1044" s="507">
        <f>SUM(L1045,L1046)</f>
        <v>40000</v>
      </c>
      <c r="M1044" s="507">
        <f>SUM(M1045,M1046)</f>
        <v>8787</v>
      </c>
      <c r="N1044" s="507">
        <f>L1044+M1044</f>
        <v>48787</v>
      </c>
      <c r="O1044" s="640">
        <f t="shared" si="187"/>
        <v>3514.8</v>
      </c>
      <c r="P1044" s="508"/>
      <c r="Q1044" s="635">
        <f t="shared" si="188"/>
        <v>3514.8</v>
      </c>
      <c r="R1044" s="508"/>
      <c r="S1044" s="508"/>
      <c r="T1044" s="509"/>
    </row>
    <row r="1045" spans="1:20" ht="54.75" customHeight="1">
      <c r="A1045" s="273" t="s">
        <v>631</v>
      </c>
      <c r="B1045" s="481" t="s">
        <v>1030</v>
      </c>
      <c r="C1045" s="490" t="s">
        <v>316</v>
      </c>
      <c r="D1045" s="483">
        <v>8100</v>
      </c>
      <c r="E1045" s="484">
        <v>108288</v>
      </c>
      <c r="F1045" s="526" t="s">
        <v>90</v>
      </c>
      <c r="G1045" s="488" t="s">
        <v>315</v>
      </c>
      <c r="H1045" s="489">
        <v>1</v>
      </c>
      <c r="I1045" s="473">
        <f>INT(L1045*$Q$139)</f>
        <v>40000</v>
      </c>
      <c r="J1045" s="473">
        <f>INT(M1045*$R$139)</f>
        <v>8787</v>
      </c>
      <c r="K1045" s="473">
        <f>SUM(I1045:J1045)</f>
        <v>48787</v>
      </c>
      <c r="L1045" s="167">
        <v>40000</v>
      </c>
      <c r="M1045" s="167">
        <v>8787</v>
      </c>
      <c r="N1045" s="167">
        <f>SUM(L1045,M1045)</f>
        <v>48787</v>
      </c>
      <c r="O1045" s="640">
        <f t="shared" si="187"/>
        <v>3514.8</v>
      </c>
      <c r="P1045" s="405"/>
      <c r="Q1045" s="635">
        <f t="shared" si="188"/>
        <v>3514.8</v>
      </c>
    </row>
    <row r="1046" spans="1:20" ht="54.75" hidden="1" customHeight="1">
      <c r="A1046" s="273" t="s">
        <v>631</v>
      </c>
      <c r="B1046" s="481" t="s">
        <v>1188</v>
      </c>
      <c r="C1046" s="490" t="s">
        <v>1187</v>
      </c>
      <c r="D1046" s="483">
        <v>112</v>
      </c>
      <c r="E1046" s="484">
        <v>108288</v>
      </c>
      <c r="F1046" s="526" t="s">
        <v>90</v>
      </c>
      <c r="G1046" s="488" t="s">
        <v>1075</v>
      </c>
      <c r="H1046" s="489"/>
      <c r="I1046" s="473">
        <f>INT(L1046*$Q$139)</f>
        <v>0</v>
      </c>
      <c r="J1046" s="473">
        <f>INT(M1046*$R$139)</f>
        <v>0</v>
      </c>
      <c r="K1046" s="473">
        <f>SUM(I1046:J1046)</f>
        <v>0</v>
      </c>
      <c r="L1046" s="167"/>
      <c r="M1046" s="167"/>
      <c r="N1046" s="167">
        <f>SUM(L1046,M1046)</f>
        <v>0</v>
      </c>
      <c r="O1046" s="640">
        <f t="shared" si="187"/>
        <v>0</v>
      </c>
      <c r="P1046" s="405"/>
      <c r="Q1046" s="635">
        <f t="shared" si="188"/>
        <v>0</v>
      </c>
    </row>
    <row r="1047" spans="1:20" ht="57" hidden="1" customHeight="1">
      <c r="A1047" s="25"/>
      <c r="B1047" s="1287" t="s">
        <v>1276</v>
      </c>
      <c r="C1047" s="1287"/>
      <c r="D1047" s="1287"/>
      <c r="E1047" s="1287"/>
      <c r="F1047" s="1287"/>
      <c r="G1047" s="1287"/>
      <c r="H1047" s="1287"/>
      <c r="I1047" s="1287"/>
      <c r="J1047" s="1287"/>
      <c r="K1047" s="1287"/>
      <c r="L1047" s="595"/>
      <c r="M1047" s="595"/>
      <c r="N1047" s="595"/>
      <c r="O1047" s="640">
        <f t="shared" si="187"/>
        <v>0</v>
      </c>
      <c r="P1047" s="27"/>
      <c r="Q1047" s="635">
        <f t="shared" si="188"/>
        <v>0</v>
      </c>
      <c r="R1047" s="27"/>
      <c r="S1047" s="27"/>
      <c r="T1047" s="27"/>
    </row>
    <row r="1048" spans="1:20" ht="17.100000000000001" hidden="1" customHeight="1">
      <c r="A1048" s="60"/>
      <c r="B1048" s="60"/>
      <c r="C1048" s="60"/>
      <c r="D1048" s="60"/>
      <c r="E1048" s="60"/>
      <c r="F1048" s="60"/>
      <c r="G1048" s="114"/>
      <c r="H1048" s="114"/>
      <c r="I1048" s="114"/>
      <c r="J1048" s="114"/>
      <c r="K1048" s="114"/>
      <c r="L1048" s="60"/>
      <c r="M1048" s="60"/>
      <c r="N1048" s="60"/>
      <c r="O1048" s="640">
        <f t="shared" si="187"/>
        <v>0</v>
      </c>
      <c r="Q1048" s="635">
        <f t="shared" si="188"/>
        <v>0</v>
      </c>
    </row>
    <row r="1049" spans="1:20" ht="17.100000000000001" hidden="1" customHeight="1">
      <c r="A1049" s="60"/>
      <c r="B1049" s="60"/>
      <c r="C1049" s="60"/>
      <c r="D1049" s="60"/>
      <c r="E1049" s="60"/>
      <c r="F1049" s="60"/>
      <c r="G1049" s="114"/>
      <c r="H1049" s="114"/>
      <c r="I1049" s="114"/>
      <c r="J1049" s="114"/>
      <c r="K1049" s="114"/>
      <c r="L1049" s="60"/>
      <c r="M1049" s="60"/>
      <c r="N1049" s="60"/>
      <c r="O1049" s="640">
        <f t="shared" si="187"/>
        <v>0</v>
      </c>
      <c r="Q1049" s="635">
        <f t="shared" si="188"/>
        <v>0</v>
      </c>
    </row>
    <row r="1050" spans="1:20" ht="17.100000000000001" hidden="1" customHeight="1">
      <c r="A1050" s="60"/>
      <c r="B1050" s="60"/>
      <c r="C1050" s="60"/>
      <c r="D1050" s="60"/>
      <c r="E1050" s="60"/>
      <c r="F1050" s="60"/>
      <c r="G1050" s="114"/>
      <c r="H1050" s="114"/>
      <c r="I1050" s="114"/>
      <c r="J1050" s="114"/>
      <c r="K1050" s="114"/>
      <c r="L1050" s="60"/>
      <c r="M1050" s="60"/>
      <c r="N1050" s="60"/>
      <c r="O1050" s="640">
        <f t="shared" si="187"/>
        <v>0</v>
      </c>
      <c r="Q1050" s="635">
        <f t="shared" si="188"/>
        <v>0</v>
      </c>
    </row>
    <row r="1051" spans="1:20" ht="17.100000000000001" hidden="1" customHeight="1">
      <c r="A1051" s="60"/>
      <c r="B1051" s="60"/>
      <c r="C1051" s="60"/>
      <c r="D1051" s="60"/>
      <c r="E1051" s="60"/>
      <c r="F1051" s="60"/>
      <c r="G1051" s="114"/>
      <c r="H1051" s="114"/>
      <c r="I1051" s="114"/>
      <c r="J1051" s="114"/>
      <c r="K1051" s="114"/>
      <c r="L1051" s="60"/>
      <c r="M1051" s="60"/>
      <c r="N1051" s="60"/>
      <c r="O1051" s="640">
        <f t="shared" si="187"/>
        <v>0</v>
      </c>
      <c r="Q1051" s="635">
        <f t="shared" si="188"/>
        <v>0</v>
      </c>
    </row>
    <row r="1052" spans="1:20" ht="17.100000000000001" hidden="1" customHeight="1">
      <c r="A1052" s="60"/>
      <c r="B1052" s="60"/>
      <c r="C1052" s="60"/>
      <c r="D1052" s="60"/>
      <c r="E1052" s="60"/>
      <c r="F1052" s="60"/>
      <c r="G1052" s="114"/>
      <c r="H1052" s="114"/>
      <c r="I1052" s="114"/>
      <c r="J1052" s="114"/>
      <c r="K1052" s="114"/>
      <c r="L1052" s="60"/>
      <c r="M1052" s="60"/>
      <c r="N1052" s="60"/>
      <c r="O1052" s="640">
        <f t="shared" si="187"/>
        <v>0</v>
      </c>
      <c r="Q1052" s="635">
        <f t="shared" si="188"/>
        <v>0</v>
      </c>
    </row>
    <row r="1053" spans="1:20" ht="21.95" hidden="1" customHeight="1" thickBot="1">
      <c r="A1053" s="60"/>
      <c r="B1053" s="60"/>
      <c r="C1053" s="60"/>
      <c r="D1053" s="60"/>
      <c r="E1053" s="60"/>
      <c r="F1053" s="60"/>
      <c r="G1053" s="114"/>
      <c r="H1053" s="114"/>
      <c r="I1053" s="114"/>
      <c r="J1053" s="114"/>
      <c r="K1053" s="114"/>
      <c r="L1053" s="60"/>
      <c r="M1053" s="60"/>
      <c r="N1053" s="60"/>
      <c r="O1053" s="640">
        <f t="shared" si="187"/>
        <v>0</v>
      </c>
      <c r="Q1053" s="635">
        <f t="shared" si="188"/>
        <v>0</v>
      </c>
    </row>
    <row r="1054" spans="1:20" ht="33" hidden="1" customHeight="1">
      <c r="C1054" s="1204" t="s">
        <v>51</v>
      </c>
      <c r="D1054" s="1204"/>
      <c r="E1054" s="1204"/>
      <c r="F1054" s="1204"/>
      <c r="H1054" s="1243" t="s">
        <v>11</v>
      </c>
      <c r="I1054" s="1244"/>
      <c r="J1054" s="1244"/>
      <c r="K1054" s="1245"/>
      <c r="L1054" s="337"/>
      <c r="M1054" s="337"/>
      <c r="N1054" s="337"/>
      <c r="O1054" s="640">
        <f t="shared" si="187"/>
        <v>0</v>
      </c>
      <c r="Q1054" s="635">
        <f t="shared" si="188"/>
        <v>0</v>
      </c>
    </row>
    <row r="1055" spans="1:20" s="17" customFormat="1" ht="33" hidden="1" customHeight="1">
      <c r="A1055" s="41"/>
      <c r="B1055" s="41"/>
      <c r="C1055" s="1204" t="s">
        <v>52</v>
      </c>
      <c r="D1055" s="1204"/>
      <c r="E1055" s="1204"/>
      <c r="F1055" s="1204"/>
      <c r="G1055" s="44"/>
      <c r="H1055" s="1208" t="s">
        <v>21</v>
      </c>
      <c r="I1055" s="1209"/>
      <c r="J1055" s="1209"/>
      <c r="K1055" s="1210"/>
      <c r="L1055" s="336"/>
      <c r="M1055" s="336"/>
      <c r="N1055" s="336"/>
      <c r="O1055" s="640">
        <f t="shared" si="187"/>
        <v>0</v>
      </c>
      <c r="P1055" s="28"/>
      <c r="Q1055" s="635">
        <f t="shared" si="188"/>
        <v>0</v>
      </c>
      <c r="R1055" s="28"/>
      <c r="S1055" s="28"/>
      <c r="T1055" s="29"/>
    </row>
    <row r="1056" spans="1:20" s="79" customFormat="1" ht="33" hidden="1" customHeight="1">
      <c r="A1056" s="41"/>
      <c r="B1056" s="41"/>
      <c r="C1056" s="1204" t="s">
        <v>50</v>
      </c>
      <c r="D1056" s="1204"/>
      <c r="E1056" s="1204"/>
      <c r="F1056" s="1204"/>
      <c r="G1056" s="44"/>
      <c r="H1056" s="1211"/>
      <c r="I1056" s="1212"/>
      <c r="J1056" s="1212"/>
      <c r="K1056" s="1213"/>
      <c r="L1056" s="336"/>
      <c r="M1056" s="336"/>
      <c r="N1056" s="336"/>
      <c r="O1056" s="640">
        <f t="shared" si="187"/>
        <v>0</v>
      </c>
      <c r="P1056" s="28"/>
      <c r="Q1056" s="635">
        <f t="shared" si="188"/>
        <v>0</v>
      </c>
      <c r="R1056" s="28"/>
      <c r="S1056" s="28"/>
      <c r="T1056" s="28"/>
    </row>
    <row r="1057" spans="1:20" s="79" customFormat="1" ht="39.950000000000003" hidden="1" customHeight="1">
      <c r="A1057" s="41"/>
      <c r="B1057" s="41"/>
      <c r="C1057" s="1252"/>
      <c r="D1057" s="1252"/>
      <c r="E1057" s="1252"/>
      <c r="F1057" s="1252"/>
      <c r="G1057" s="44"/>
      <c r="H1057" s="1211" t="s">
        <v>22</v>
      </c>
      <c r="I1057" s="1212"/>
      <c r="J1057" s="1212"/>
      <c r="K1057" s="477">
        <f>K1690</f>
        <v>14317270</v>
      </c>
      <c r="L1057" s="336"/>
      <c r="M1057" s="336"/>
      <c r="N1057" s="86"/>
      <c r="O1057" s="640">
        <f t="shared" si="187"/>
        <v>0</v>
      </c>
      <c r="P1057" s="28"/>
      <c r="Q1057" s="635">
        <f t="shared" si="188"/>
        <v>0</v>
      </c>
      <c r="R1057" s="28"/>
      <c r="S1057" s="28"/>
      <c r="T1057" s="28"/>
    </row>
    <row r="1058" spans="1:20" ht="63" hidden="1" customHeight="1" thickBot="1">
      <c r="A1058" s="75"/>
      <c r="B1058" s="75"/>
      <c r="C1058" s="65"/>
      <c r="D1058" s="65"/>
      <c r="E1058" s="65"/>
      <c r="F1058" s="10"/>
      <c r="G1058" s="10"/>
      <c r="H1058" s="1283" t="s">
        <v>13</v>
      </c>
      <c r="I1058" s="1284"/>
      <c r="J1058" s="1284"/>
      <c r="K1058" s="1285"/>
      <c r="L1058" s="336"/>
      <c r="M1058" s="336"/>
      <c r="N1058" s="336"/>
      <c r="O1058" s="640">
        <f t="shared" si="187"/>
        <v>0</v>
      </c>
      <c r="Q1058" s="635">
        <f t="shared" si="188"/>
        <v>0</v>
      </c>
    </row>
    <row r="1059" spans="1:20" ht="30" hidden="1" customHeight="1">
      <c r="A1059" s="60"/>
      <c r="B1059" s="60"/>
      <c r="C1059" s="60"/>
      <c r="D1059" s="60"/>
      <c r="E1059" s="60"/>
      <c r="F1059" s="60"/>
      <c r="G1059" s="114"/>
      <c r="H1059" s="114"/>
      <c r="I1059" s="114"/>
      <c r="J1059" s="114"/>
      <c r="K1059" s="114"/>
      <c r="L1059" s="60"/>
      <c r="M1059" s="60"/>
      <c r="N1059" s="60"/>
      <c r="O1059" s="640">
        <f t="shared" si="187"/>
        <v>0</v>
      </c>
      <c r="Q1059" s="635">
        <f t="shared" si="188"/>
        <v>0</v>
      </c>
    </row>
    <row r="1060" spans="1:20" ht="30" hidden="1" customHeight="1">
      <c r="A1060" s="60"/>
      <c r="B1060" s="60"/>
      <c r="C1060" s="60"/>
      <c r="D1060" s="60"/>
      <c r="E1060" s="60"/>
      <c r="F1060" s="60"/>
      <c r="G1060" s="114"/>
      <c r="H1060" s="114"/>
      <c r="I1060" s="114"/>
      <c r="J1060" s="114"/>
      <c r="K1060" s="114"/>
      <c r="L1060" s="60"/>
      <c r="M1060" s="60"/>
      <c r="N1060" s="60"/>
      <c r="O1060" s="640">
        <f t="shared" si="187"/>
        <v>0</v>
      </c>
      <c r="Q1060" s="635">
        <f t="shared" si="188"/>
        <v>0</v>
      </c>
    </row>
    <row r="1061" spans="1:20" ht="39.950000000000003" hidden="1" customHeight="1">
      <c r="A1061" s="346"/>
      <c r="B1061" s="1226" t="s">
        <v>1037</v>
      </c>
      <c r="C1061" s="1226"/>
      <c r="D1061" s="1226"/>
      <c r="E1061" s="1226"/>
      <c r="F1061" s="1226"/>
      <c r="G1061" s="1226"/>
      <c r="H1061" s="1226"/>
      <c r="I1061" s="1226"/>
      <c r="J1061" s="1226"/>
      <c r="K1061" s="1226"/>
      <c r="L1061" s="346"/>
      <c r="M1061" s="346"/>
      <c r="N1061" s="346"/>
      <c r="O1061" s="640">
        <f t="shared" si="187"/>
        <v>0</v>
      </c>
      <c r="P1061" s="27"/>
      <c r="Q1061" s="635">
        <f t="shared" si="188"/>
        <v>0</v>
      </c>
      <c r="R1061" s="27"/>
      <c r="S1061" s="27"/>
      <c r="T1061" s="27"/>
    </row>
    <row r="1062" spans="1:20" ht="20.100000000000001" hidden="1" customHeight="1">
      <c r="A1062" s="46"/>
      <c r="B1062" s="46"/>
      <c r="C1062" s="46"/>
      <c r="D1062" s="46"/>
      <c r="E1062" s="46"/>
      <c r="F1062" s="46"/>
      <c r="G1062" s="46"/>
      <c r="H1062" s="46"/>
      <c r="I1062" s="46"/>
      <c r="J1062" s="46"/>
      <c r="K1062" s="46"/>
      <c r="L1062" s="46"/>
      <c r="M1062" s="46"/>
      <c r="N1062" s="46"/>
      <c r="O1062" s="640">
        <f t="shared" si="187"/>
        <v>0</v>
      </c>
      <c r="Q1062" s="635">
        <f t="shared" si="188"/>
        <v>0</v>
      </c>
    </row>
    <row r="1063" spans="1:20" s="500" customFormat="1" ht="90" hidden="1">
      <c r="A1063" s="496" t="s">
        <v>14</v>
      </c>
      <c r="B1063" s="497" t="s">
        <v>14</v>
      </c>
      <c r="C1063" s="497" t="s">
        <v>37</v>
      </c>
      <c r="D1063" s="497" t="s">
        <v>440</v>
      </c>
      <c r="E1063" s="497" t="s">
        <v>16</v>
      </c>
      <c r="F1063" s="497" t="s">
        <v>185</v>
      </c>
      <c r="G1063" s="497" t="s">
        <v>178</v>
      </c>
      <c r="H1063" s="497" t="s">
        <v>179</v>
      </c>
      <c r="I1063" s="497" t="s">
        <v>180</v>
      </c>
      <c r="J1063" s="497" t="s">
        <v>1275</v>
      </c>
      <c r="K1063" s="497" t="s">
        <v>200</v>
      </c>
      <c r="L1063" s="496" t="s">
        <v>180</v>
      </c>
      <c r="M1063" s="496" t="s">
        <v>181</v>
      </c>
      <c r="N1063" s="496" t="s">
        <v>200</v>
      </c>
      <c r="O1063" s="640" t="e">
        <f t="shared" si="187"/>
        <v>#VALUE!</v>
      </c>
      <c r="P1063" s="498"/>
      <c r="Q1063" s="635" t="e">
        <f t="shared" si="188"/>
        <v>#VALUE!</v>
      </c>
      <c r="R1063" s="498"/>
      <c r="S1063" s="498"/>
      <c r="T1063" s="499"/>
    </row>
    <row r="1064" spans="1:20" s="579" customFormat="1" ht="46.5" customHeight="1">
      <c r="A1064" s="572"/>
      <c r="B1064" s="572"/>
      <c r="C1064" s="573" t="s">
        <v>73</v>
      </c>
      <c r="D1064" s="574"/>
      <c r="E1064" s="574"/>
      <c r="F1064" s="575" t="s">
        <v>113</v>
      </c>
      <c r="G1064" s="576"/>
      <c r="H1064" s="576"/>
      <c r="I1064" s="577">
        <f>SUM(I1065,I1067,I1069,I1072,I1074,I1077)</f>
        <v>519208</v>
      </c>
      <c r="J1064" s="577">
        <f>SUM(J1065,J1067,J1069,J1072,J1074,J1077)</f>
        <v>35000</v>
      </c>
      <c r="K1064" s="577">
        <f>I1064+J1064</f>
        <v>554208</v>
      </c>
      <c r="L1064" s="578">
        <f>SUM(L1065,L1067,L1069,L1072,L1074,L1077)</f>
        <v>519208</v>
      </c>
      <c r="M1064" s="578">
        <f>SUM(M1065,M1067,M1069,M1072,M1074,M1077)</f>
        <v>35000</v>
      </c>
      <c r="N1064" s="578">
        <f>L1064+M1064</f>
        <v>554208</v>
      </c>
      <c r="O1064" s="644">
        <f t="shared" ref="O1064:O1127" si="193">(J1064/100)*40</f>
        <v>14000</v>
      </c>
      <c r="Q1064" s="635">
        <f t="shared" ref="Q1064:Q1127" si="194">($Q$932*J1064)/100</f>
        <v>14000</v>
      </c>
    </row>
    <row r="1065" spans="1:20" s="510" customFormat="1" ht="72" hidden="1" customHeight="1">
      <c r="A1065" s="501"/>
      <c r="B1065" s="502"/>
      <c r="C1065" s="503" t="s">
        <v>292</v>
      </c>
      <c r="D1065" s="504"/>
      <c r="E1065" s="505"/>
      <c r="F1065" s="504"/>
      <c r="G1065" s="504"/>
      <c r="H1065" s="504"/>
      <c r="I1065" s="506">
        <f>SUM(I1066)</f>
        <v>69470</v>
      </c>
      <c r="J1065" s="506">
        <f>SUM(J1066)</f>
        <v>0</v>
      </c>
      <c r="K1065" s="506">
        <f>I1065+J1065</f>
        <v>69470</v>
      </c>
      <c r="L1065" s="507">
        <f>SUM(L1066)</f>
        <v>69470</v>
      </c>
      <c r="M1065" s="507">
        <f>SUM(M1066)</f>
        <v>0</v>
      </c>
      <c r="N1065" s="507">
        <f>L1065+M1065</f>
        <v>69470</v>
      </c>
      <c r="O1065" s="640">
        <f t="shared" si="193"/>
        <v>0</v>
      </c>
      <c r="P1065" s="508"/>
      <c r="Q1065" s="635">
        <f t="shared" si="194"/>
        <v>0</v>
      </c>
      <c r="R1065" s="508"/>
      <c r="S1065" s="508"/>
      <c r="T1065" s="509"/>
    </row>
    <row r="1066" spans="1:20" ht="54.75" hidden="1" customHeight="1">
      <c r="A1066" s="273" t="s">
        <v>684</v>
      </c>
      <c r="B1066" s="481" t="s">
        <v>1190</v>
      </c>
      <c r="C1066" s="490" t="s">
        <v>367</v>
      </c>
      <c r="D1066" s="483">
        <v>8100</v>
      </c>
      <c r="E1066" s="484">
        <v>108288</v>
      </c>
      <c r="F1066" s="526" t="s">
        <v>74</v>
      </c>
      <c r="G1066" s="488" t="s">
        <v>143</v>
      </c>
      <c r="H1066" s="489">
        <v>1943</v>
      </c>
      <c r="I1066" s="473">
        <f>INT(L1066*$Q$139)</f>
        <v>69470</v>
      </c>
      <c r="J1066" s="473">
        <f>INT(M1066*$R$139)</f>
        <v>0</v>
      </c>
      <c r="K1066" s="473">
        <f>SUM(I1066:J1066)</f>
        <v>69470</v>
      </c>
      <c r="L1066" s="167">
        <v>69470</v>
      </c>
      <c r="M1066" s="167"/>
      <c r="N1066" s="167">
        <f t="shared" ref="N1066:N1071" si="195">SUM(L1066,M1066)</f>
        <v>69470</v>
      </c>
      <c r="O1066" s="640">
        <f t="shared" si="193"/>
        <v>0</v>
      </c>
      <c r="P1066" s="405"/>
      <c r="Q1066" s="635">
        <f t="shared" si="194"/>
        <v>0</v>
      </c>
    </row>
    <row r="1067" spans="1:20" s="510" customFormat="1" ht="72" hidden="1" customHeight="1">
      <c r="A1067" s="501"/>
      <c r="B1067" s="502"/>
      <c r="C1067" s="503" t="s">
        <v>141</v>
      </c>
      <c r="D1067" s="504"/>
      <c r="E1067" s="505"/>
      <c r="F1067" s="504"/>
      <c r="G1067" s="504"/>
      <c r="H1067" s="504"/>
      <c r="I1067" s="506">
        <f>SUM(I1068)</f>
        <v>347861</v>
      </c>
      <c r="J1067" s="506">
        <f>SUM(J1068)</f>
        <v>0</v>
      </c>
      <c r="K1067" s="506">
        <f>I1067+J1067</f>
        <v>347861</v>
      </c>
      <c r="L1067" s="507">
        <f>SUM(L1068)</f>
        <v>347861</v>
      </c>
      <c r="M1067" s="507">
        <f>SUM(M1068)</f>
        <v>0</v>
      </c>
      <c r="N1067" s="507">
        <f>L1067+M1067</f>
        <v>347861</v>
      </c>
      <c r="O1067" s="640">
        <f t="shared" si="193"/>
        <v>0</v>
      </c>
      <c r="P1067" s="508"/>
      <c r="Q1067" s="635">
        <f t="shared" si="194"/>
        <v>0</v>
      </c>
      <c r="R1067" s="508"/>
      <c r="S1067" s="508"/>
      <c r="T1067" s="509"/>
    </row>
    <row r="1068" spans="1:20" ht="54.75" hidden="1" customHeight="1">
      <c r="A1068" s="273" t="s">
        <v>614</v>
      </c>
      <c r="B1068" s="481" t="s">
        <v>1173</v>
      </c>
      <c r="C1068" s="490" t="s">
        <v>317</v>
      </c>
      <c r="D1068" s="483">
        <v>8100</v>
      </c>
      <c r="E1068" s="484">
        <v>108288</v>
      </c>
      <c r="F1068" s="526" t="s">
        <v>74</v>
      </c>
      <c r="G1068" s="488" t="s">
        <v>143</v>
      </c>
      <c r="H1068" s="489">
        <v>1943</v>
      </c>
      <c r="I1068" s="473">
        <f>INT(L1068*$Q$139)</f>
        <v>347861</v>
      </c>
      <c r="J1068" s="473">
        <f>INT(M1068*$R$139)</f>
        <v>0</v>
      </c>
      <c r="K1068" s="473">
        <f>SUM(I1068:J1068)</f>
        <v>347861</v>
      </c>
      <c r="L1068" s="167">
        <v>347861</v>
      </c>
      <c r="M1068" s="167"/>
      <c r="N1068" s="167">
        <f t="shared" si="195"/>
        <v>347861</v>
      </c>
      <c r="O1068" s="640">
        <f t="shared" si="193"/>
        <v>0</v>
      </c>
      <c r="P1068" s="405"/>
      <c r="Q1068" s="635">
        <f t="shared" si="194"/>
        <v>0</v>
      </c>
    </row>
    <row r="1069" spans="1:20" s="510" customFormat="1" ht="72" hidden="1" customHeight="1">
      <c r="A1069" s="501"/>
      <c r="B1069" s="502"/>
      <c r="C1069" s="503" t="s">
        <v>310</v>
      </c>
      <c r="D1069" s="504"/>
      <c r="E1069" s="505"/>
      <c r="F1069" s="504"/>
      <c r="G1069" s="504"/>
      <c r="H1069" s="504"/>
      <c r="I1069" s="506">
        <f>SUM(I1070:I1071)</f>
        <v>55165</v>
      </c>
      <c r="J1069" s="506">
        <f>SUM(J1070:J1071)</f>
        <v>20000</v>
      </c>
      <c r="K1069" s="506">
        <f>I1069+J1069</f>
        <v>75165</v>
      </c>
      <c r="L1069" s="507">
        <f>SUM(L1070:L1071)</f>
        <v>55165</v>
      </c>
      <c r="M1069" s="507">
        <f>SUM(M1070:M1071)</f>
        <v>20000</v>
      </c>
      <c r="N1069" s="507">
        <f>L1069+M1069</f>
        <v>75165</v>
      </c>
      <c r="O1069" s="640">
        <f t="shared" si="193"/>
        <v>8000</v>
      </c>
      <c r="P1069" s="508"/>
      <c r="Q1069" s="635">
        <f t="shared" si="194"/>
        <v>8000</v>
      </c>
      <c r="R1069" s="508"/>
      <c r="S1069" s="508"/>
      <c r="T1069" s="509"/>
    </row>
    <row r="1070" spans="1:20" ht="54.75" customHeight="1">
      <c r="A1070" s="273" t="s">
        <v>616</v>
      </c>
      <c r="B1070" s="481" t="s">
        <v>1027</v>
      </c>
      <c r="C1070" s="490" t="s">
        <v>681</v>
      </c>
      <c r="D1070" s="483">
        <v>8100</v>
      </c>
      <c r="E1070" s="484">
        <v>108288</v>
      </c>
      <c r="F1070" s="526" t="s">
        <v>74</v>
      </c>
      <c r="G1070" s="488" t="s">
        <v>520</v>
      </c>
      <c r="H1070" s="489">
        <v>1</v>
      </c>
      <c r="I1070" s="473">
        <f>INT(L1070*$Q$139)</f>
        <v>55165</v>
      </c>
      <c r="J1070" s="473">
        <f>INT(M1070*$R$139)</f>
        <v>20000</v>
      </c>
      <c r="K1070" s="473">
        <f>SUM(I1070:J1070)</f>
        <v>75165</v>
      </c>
      <c r="L1070" s="167">
        <v>55165</v>
      </c>
      <c r="M1070" s="167">
        <v>20000</v>
      </c>
      <c r="N1070" s="167">
        <f t="shared" si="195"/>
        <v>75165</v>
      </c>
      <c r="O1070" s="640">
        <f t="shared" si="193"/>
        <v>8000</v>
      </c>
      <c r="P1070" s="405"/>
      <c r="Q1070" s="635">
        <f t="shared" si="194"/>
        <v>8000</v>
      </c>
    </row>
    <row r="1071" spans="1:20" ht="54.75" hidden="1" customHeight="1">
      <c r="A1071" s="273"/>
      <c r="B1071" s="481" t="s">
        <v>1186</v>
      </c>
      <c r="C1071" s="490" t="s">
        <v>1074</v>
      </c>
      <c r="D1071" s="483">
        <v>112</v>
      </c>
      <c r="E1071" s="484">
        <v>108288</v>
      </c>
      <c r="F1071" s="526" t="s">
        <v>74</v>
      </c>
      <c r="G1071" s="488" t="s">
        <v>1075</v>
      </c>
      <c r="H1071" s="489"/>
      <c r="I1071" s="473">
        <f>INT(L1071*$Q$139)</f>
        <v>0</v>
      </c>
      <c r="J1071" s="473">
        <f>INT(M1071*$R$139)</f>
        <v>0</v>
      </c>
      <c r="K1071" s="473">
        <f>SUM(I1071:J1071)</f>
        <v>0</v>
      </c>
      <c r="L1071" s="167"/>
      <c r="M1071" s="167"/>
      <c r="N1071" s="167">
        <f t="shared" si="195"/>
        <v>0</v>
      </c>
      <c r="O1071" s="640">
        <f t="shared" si="193"/>
        <v>0</v>
      </c>
      <c r="P1071" s="405"/>
      <c r="Q1071" s="635">
        <f t="shared" si="194"/>
        <v>0</v>
      </c>
    </row>
    <row r="1072" spans="1:20" s="510" customFormat="1" ht="72" hidden="1" customHeight="1">
      <c r="A1072" s="501"/>
      <c r="B1072" s="502"/>
      <c r="C1072" s="503" t="s">
        <v>278</v>
      </c>
      <c r="D1072" s="504"/>
      <c r="E1072" s="505"/>
      <c r="F1072" s="504"/>
      <c r="G1072" s="504"/>
      <c r="H1072" s="504"/>
      <c r="I1072" s="506">
        <f>SUM(I1073)</f>
        <v>16000</v>
      </c>
      <c r="J1072" s="506">
        <f>SUM(J1073)</f>
        <v>0</v>
      </c>
      <c r="K1072" s="506">
        <f>I1072+J1072</f>
        <v>16000</v>
      </c>
      <c r="L1072" s="507">
        <f>SUM(L1073)</f>
        <v>16000</v>
      </c>
      <c r="M1072" s="507">
        <f>SUM(M1073)</f>
        <v>0</v>
      </c>
      <c r="N1072" s="507">
        <f>L1072+M1072</f>
        <v>16000</v>
      </c>
      <c r="O1072" s="640">
        <f t="shared" si="193"/>
        <v>0</v>
      </c>
      <c r="P1072" s="508"/>
      <c r="Q1072" s="635">
        <f t="shared" si="194"/>
        <v>0</v>
      </c>
      <c r="R1072" s="508"/>
      <c r="S1072" s="508"/>
      <c r="T1072" s="509"/>
    </row>
    <row r="1073" spans="1:20" ht="54.75" hidden="1" customHeight="1">
      <c r="A1073" s="273" t="s">
        <v>653</v>
      </c>
      <c r="B1073" s="481" t="s">
        <v>1031</v>
      </c>
      <c r="C1073" s="490" t="s">
        <v>319</v>
      </c>
      <c r="D1073" s="483">
        <v>8100</v>
      </c>
      <c r="E1073" s="484" t="s">
        <v>686</v>
      </c>
      <c r="F1073" s="526" t="s">
        <v>74</v>
      </c>
      <c r="G1073" s="488" t="s">
        <v>18</v>
      </c>
      <c r="H1073" s="489">
        <v>10</v>
      </c>
      <c r="I1073" s="473">
        <f>INT(L1073*$Q$139)</f>
        <v>16000</v>
      </c>
      <c r="J1073" s="473">
        <f>INT(M1073*$R$139)</f>
        <v>0</v>
      </c>
      <c r="K1073" s="473">
        <f>SUM(I1073:J1073)</f>
        <v>16000</v>
      </c>
      <c r="L1073" s="167">
        <v>16000</v>
      </c>
      <c r="M1073" s="167"/>
      <c r="N1073" s="167">
        <f>SUM(L1073,M1073)</f>
        <v>16000</v>
      </c>
      <c r="O1073" s="640">
        <f t="shared" si="193"/>
        <v>0</v>
      </c>
      <c r="P1073" s="405"/>
      <c r="Q1073" s="635">
        <f t="shared" si="194"/>
        <v>0</v>
      </c>
    </row>
    <row r="1074" spans="1:20" ht="41.25" hidden="1" customHeight="1">
      <c r="A1074" s="149"/>
      <c r="B1074" s="149"/>
      <c r="C1074" s="143" t="s">
        <v>274</v>
      </c>
      <c r="D1074" s="144"/>
      <c r="E1074" s="144"/>
      <c r="F1074" s="137"/>
      <c r="G1074" s="143"/>
      <c r="H1074" s="135"/>
      <c r="I1074" s="391">
        <f t="shared" ref="I1074:N1074" si="196">SUM(I1075:I1076)</f>
        <v>0</v>
      </c>
      <c r="J1074" s="391">
        <f t="shared" si="196"/>
        <v>0</v>
      </c>
      <c r="K1074" s="391">
        <f t="shared" si="196"/>
        <v>0</v>
      </c>
      <c r="L1074" s="391">
        <f t="shared" si="196"/>
        <v>0</v>
      </c>
      <c r="M1074" s="391">
        <f t="shared" si="196"/>
        <v>0</v>
      </c>
      <c r="N1074" s="391">
        <f t="shared" si="196"/>
        <v>0</v>
      </c>
      <c r="O1074" s="640">
        <f t="shared" si="193"/>
        <v>0</v>
      </c>
      <c r="Q1074" s="635">
        <f t="shared" si="194"/>
        <v>0</v>
      </c>
    </row>
    <row r="1075" spans="1:20" ht="48.75" hidden="1" customHeight="1">
      <c r="A1075" s="273" t="s">
        <v>835</v>
      </c>
      <c r="B1075" s="273" t="s">
        <v>835</v>
      </c>
      <c r="C1075" s="183" t="s">
        <v>681</v>
      </c>
      <c r="D1075" s="228">
        <v>112</v>
      </c>
      <c r="E1075" s="229" t="s">
        <v>795</v>
      </c>
      <c r="F1075" s="230" t="s">
        <v>74</v>
      </c>
      <c r="G1075" s="237" t="s">
        <v>725</v>
      </c>
      <c r="H1075" s="251">
        <v>1</v>
      </c>
      <c r="I1075" s="388">
        <f>INT(L1075*$Q$139)</f>
        <v>0</v>
      </c>
      <c r="J1075" s="388">
        <f>INT(M1075*$R$139)</f>
        <v>0</v>
      </c>
      <c r="K1075" s="388">
        <f>SUM(I1075:J1075)</f>
        <v>0</v>
      </c>
      <c r="L1075" s="167"/>
      <c r="M1075" s="168"/>
      <c r="N1075" s="167">
        <f>SUM(L1075,M1075)</f>
        <v>0</v>
      </c>
      <c r="O1075" s="640">
        <f t="shared" si="193"/>
        <v>0</v>
      </c>
      <c r="Q1075" s="635">
        <f t="shared" si="194"/>
        <v>0</v>
      </c>
    </row>
    <row r="1076" spans="1:20" ht="48.75" hidden="1" customHeight="1">
      <c r="A1076" s="273" t="s">
        <v>837</v>
      </c>
      <c r="B1076" s="273" t="s">
        <v>837</v>
      </c>
      <c r="C1076" s="241" t="s">
        <v>316</v>
      </c>
      <c r="D1076" s="228">
        <v>112</v>
      </c>
      <c r="E1076" s="229" t="s">
        <v>795</v>
      </c>
      <c r="F1076" s="230" t="s">
        <v>74</v>
      </c>
      <c r="G1076" s="242" t="s">
        <v>315</v>
      </c>
      <c r="H1076" s="251">
        <v>1</v>
      </c>
      <c r="I1076" s="388">
        <f>INT(L1076*$Q$139)</f>
        <v>0</v>
      </c>
      <c r="J1076" s="388">
        <f>INT(M1076*$R$139)</f>
        <v>0</v>
      </c>
      <c r="K1076" s="388">
        <f>SUM(I1076:J1076)</f>
        <v>0</v>
      </c>
      <c r="L1076" s="167"/>
      <c r="M1076" s="167"/>
      <c r="N1076" s="167">
        <f>SUM(L1076,M1076)</f>
        <v>0</v>
      </c>
      <c r="O1076" s="640">
        <f t="shared" si="193"/>
        <v>0</v>
      </c>
      <c r="Q1076" s="635">
        <f t="shared" si="194"/>
        <v>0</v>
      </c>
    </row>
    <row r="1077" spans="1:20" s="510" customFormat="1" ht="72" hidden="1" customHeight="1">
      <c r="A1077" s="501"/>
      <c r="B1077" s="502"/>
      <c r="C1077" s="503" t="s">
        <v>312</v>
      </c>
      <c r="D1077" s="504"/>
      <c r="E1077" s="505"/>
      <c r="F1077" s="504"/>
      <c r="G1077" s="504"/>
      <c r="H1077" s="504"/>
      <c r="I1077" s="506">
        <f>SUM(I1078:I1079)</f>
        <v>30712</v>
      </c>
      <c r="J1077" s="506">
        <f>SUM(J1078:J1079)</f>
        <v>15000</v>
      </c>
      <c r="K1077" s="506">
        <f>I1077+J1077</f>
        <v>45712</v>
      </c>
      <c r="L1077" s="507">
        <f>SUM(L1078:L1079)</f>
        <v>30712</v>
      </c>
      <c r="M1077" s="507">
        <f>SUM(M1078:M1079)</f>
        <v>15000</v>
      </c>
      <c r="N1077" s="507">
        <f>L1077+M1077</f>
        <v>45712</v>
      </c>
      <c r="O1077" s="640">
        <f t="shared" si="193"/>
        <v>6000</v>
      </c>
      <c r="P1077" s="508"/>
      <c r="Q1077" s="635">
        <f t="shared" si="194"/>
        <v>6000</v>
      </c>
      <c r="R1077" s="508"/>
      <c r="S1077" s="508"/>
      <c r="T1077" s="509"/>
    </row>
    <row r="1078" spans="1:20" ht="54.75" customHeight="1">
      <c r="A1078" s="273" t="s">
        <v>631</v>
      </c>
      <c r="B1078" s="481" t="s">
        <v>1030</v>
      </c>
      <c r="C1078" s="490" t="s">
        <v>316</v>
      </c>
      <c r="D1078" s="483">
        <v>8100</v>
      </c>
      <c r="E1078" s="484">
        <v>108288</v>
      </c>
      <c r="F1078" s="526" t="s">
        <v>74</v>
      </c>
      <c r="G1078" s="488" t="s">
        <v>315</v>
      </c>
      <c r="H1078" s="489">
        <v>1</v>
      </c>
      <c r="I1078" s="473">
        <f>INT(L1078*$Q$139)</f>
        <v>30712</v>
      </c>
      <c r="J1078" s="473">
        <f>INT(M1078*$R$139)</f>
        <v>15000</v>
      </c>
      <c r="K1078" s="473">
        <f>SUM(I1078:J1078)</f>
        <v>45712</v>
      </c>
      <c r="L1078" s="167">
        <v>30712</v>
      </c>
      <c r="M1078" s="167">
        <v>15000</v>
      </c>
      <c r="N1078" s="167">
        <f>SUM(L1078,M1078)</f>
        <v>45712</v>
      </c>
      <c r="O1078" s="640">
        <f t="shared" si="193"/>
        <v>6000</v>
      </c>
      <c r="P1078" s="405"/>
      <c r="Q1078" s="635">
        <f t="shared" si="194"/>
        <v>6000</v>
      </c>
    </row>
    <row r="1079" spans="1:20" ht="54.75" hidden="1" customHeight="1">
      <c r="A1079" s="273"/>
      <c r="B1079" s="481" t="s">
        <v>1188</v>
      </c>
      <c r="C1079" s="490" t="s">
        <v>1187</v>
      </c>
      <c r="D1079" s="483">
        <v>112</v>
      </c>
      <c r="E1079" s="484">
        <v>108288</v>
      </c>
      <c r="F1079" s="526" t="s">
        <v>74</v>
      </c>
      <c r="G1079" s="488" t="s">
        <v>1075</v>
      </c>
      <c r="H1079" s="489"/>
      <c r="I1079" s="473">
        <f>INT(L1079*$Q$139)</f>
        <v>0</v>
      </c>
      <c r="J1079" s="473">
        <f>INT(M1079*$R$139)</f>
        <v>0</v>
      </c>
      <c r="K1079" s="473">
        <f>SUM(I1079:J1079)</f>
        <v>0</v>
      </c>
      <c r="L1079" s="167"/>
      <c r="M1079" s="167"/>
      <c r="N1079" s="167">
        <f>SUM(L1079,M1079)</f>
        <v>0</v>
      </c>
      <c r="O1079" s="640">
        <f t="shared" si="193"/>
        <v>0</v>
      </c>
      <c r="P1079" s="405"/>
      <c r="Q1079" s="635">
        <f t="shared" si="194"/>
        <v>0</v>
      </c>
    </row>
    <row r="1080" spans="1:20" s="579" customFormat="1" ht="46.5" customHeight="1">
      <c r="A1080" s="572"/>
      <c r="B1080" s="572"/>
      <c r="C1080" s="573" t="s">
        <v>242</v>
      </c>
      <c r="D1080" s="574"/>
      <c r="E1080" s="574"/>
      <c r="F1080" s="575" t="s">
        <v>114</v>
      </c>
      <c r="G1080" s="576"/>
      <c r="H1080" s="576"/>
      <c r="I1080" s="577">
        <f>SUM(I1081,I1083,I1085,I1088,I1091)</f>
        <v>773000</v>
      </c>
      <c r="J1080" s="577">
        <f>SUM(J1081,J1083,J1085,J1088,J1091)</f>
        <v>32978</v>
      </c>
      <c r="K1080" s="577">
        <f>I1080+J1080</f>
        <v>805978</v>
      </c>
      <c r="L1080" s="578">
        <f>SUM(L1081,L1083,L1085,L1088,L1091)</f>
        <v>773000</v>
      </c>
      <c r="M1080" s="578">
        <f>SUM(M1081,M1083,M1085,M1088,M1091)</f>
        <v>32978</v>
      </c>
      <c r="N1080" s="578">
        <f>L1080+M1080</f>
        <v>805978</v>
      </c>
      <c r="O1080" s="644">
        <f t="shared" si="193"/>
        <v>13191.199999999999</v>
      </c>
      <c r="Q1080" s="635">
        <f t="shared" si="194"/>
        <v>13191.2</v>
      </c>
    </row>
    <row r="1081" spans="1:20" s="510" customFormat="1" ht="72" hidden="1" customHeight="1">
      <c r="A1081" s="501"/>
      <c r="B1081" s="502"/>
      <c r="C1081" s="503" t="s">
        <v>292</v>
      </c>
      <c r="D1081" s="504"/>
      <c r="E1081" s="505"/>
      <c r="F1081" s="504"/>
      <c r="G1081" s="504"/>
      <c r="H1081" s="504"/>
      <c r="I1081" s="506">
        <f>SUM(I1082)</f>
        <v>471747</v>
      </c>
      <c r="J1081" s="506">
        <f>SUM(J1082)</f>
        <v>0</v>
      </c>
      <c r="K1081" s="506">
        <f>I1081+J1081</f>
        <v>471747</v>
      </c>
      <c r="L1081" s="507">
        <f>SUM(L1082)</f>
        <v>471747</v>
      </c>
      <c r="M1081" s="507">
        <f>SUM(M1082)</f>
        <v>0</v>
      </c>
      <c r="N1081" s="507">
        <f>L1081+M1081</f>
        <v>471747</v>
      </c>
      <c r="O1081" s="640">
        <f t="shared" si="193"/>
        <v>0</v>
      </c>
      <c r="P1081" s="508"/>
      <c r="Q1081" s="635">
        <f t="shared" si="194"/>
        <v>0</v>
      </c>
      <c r="R1081" s="508"/>
      <c r="S1081" s="508"/>
      <c r="T1081" s="509"/>
    </row>
    <row r="1082" spans="1:20" ht="54.75" hidden="1" customHeight="1">
      <c r="A1082" s="273" t="s">
        <v>668</v>
      </c>
      <c r="B1082" s="481" t="s">
        <v>1172</v>
      </c>
      <c r="C1082" s="490" t="s">
        <v>323</v>
      </c>
      <c r="D1082" s="483">
        <v>8100</v>
      </c>
      <c r="E1082" s="484">
        <v>108288</v>
      </c>
      <c r="F1082" s="526" t="s">
        <v>78</v>
      </c>
      <c r="G1082" s="488" t="s">
        <v>147</v>
      </c>
      <c r="H1082" s="489">
        <v>1</v>
      </c>
      <c r="I1082" s="473">
        <f>INT(L1082*$Q$139)</f>
        <v>471747</v>
      </c>
      <c r="J1082" s="473">
        <f>INT(M1082*$R$139)</f>
        <v>0</v>
      </c>
      <c r="K1082" s="473">
        <f>SUM(I1082:J1082)</f>
        <v>471747</v>
      </c>
      <c r="L1082" s="167">
        <v>471747</v>
      </c>
      <c r="M1082" s="167"/>
      <c r="N1082" s="167">
        <f>SUM(L1082,M1082)</f>
        <v>471747</v>
      </c>
      <c r="O1082" s="640">
        <f t="shared" si="193"/>
        <v>0</v>
      </c>
      <c r="P1082" s="405"/>
      <c r="Q1082" s="635">
        <f t="shared" si="194"/>
        <v>0</v>
      </c>
    </row>
    <row r="1083" spans="1:20" s="510" customFormat="1" ht="72" hidden="1" customHeight="1">
      <c r="A1083" s="501"/>
      <c r="B1083" s="502"/>
      <c r="C1083" s="503" t="s">
        <v>141</v>
      </c>
      <c r="D1083" s="504"/>
      <c r="E1083" s="505"/>
      <c r="F1083" s="504"/>
      <c r="G1083" s="504"/>
      <c r="H1083" s="504"/>
      <c r="I1083" s="506">
        <f>SUM(I1084)</f>
        <v>234335</v>
      </c>
      <c r="J1083" s="506">
        <f>SUM(J1084)</f>
        <v>0</v>
      </c>
      <c r="K1083" s="506">
        <f>I1083+J1083</f>
        <v>234335</v>
      </c>
      <c r="L1083" s="507">
        <f>SUM(L1084)</f>
        <v>234335</v>
      </c>
      <c r="M1083" s="507">
        <f>SUM(M1084)</f>
        <v>0</v>
      </c>
      <c r="N1083" s="507">
        <f>L1083+M1083</f>
        <v>234335</v>
      </c>
      <c r="O1083" s="640">
        <f t="shared" si="193"/>
        <v>0</v>
      </c>
      <c r="P1083" s="508"/>
      <c r="Q1083" s="635">
        <f t="shared" si="194"/>
        <v>0</v>
      </c>
      <c r="R1083" s="508"/>
      <c r="S1083" s="508"/>
      <c r="T1083" s="509"/>
    </row>
    <row r="1084" spans="1:20" ht="54.75" hidden="1" customHeight="1">
      <c r="A1084" s="273" t="s">
        <v>614</v>
      </c>
      <c r="B1084" s="481" t="s">
        <v>1173</v>
      </c>
      <c r="C1084" s="490" t="s">
        <v>317</v>
      </c>
      <c r="D1084" s="483">
        <v>8100</v>
      </c>
      <c r="E1084" s="484">
        <v>108288</v>
      </c>
      <c r="F1084" s="526" t="s">
        <v>78</v>
      </c>
      <c r="G1084" s="488" t="s">
        <v>143</v>
      </c>
      <c r="H1084" s="489">
        <v>641</v>
      </c>
      <c r="I1084" s="473">
        <f>INT(L1084*$Q$139)</f>
        <v>234335</v>
      </c>
      <c r="J1084" s="473">
        <f>INT(M1084*$R$139)</f>
        <v>0</v>
      </c>
      <c r="K1084" s="473">
        <f>SUM(I1084:J1084)</f>
        <v>234335</v>
      </c>
      <c r="L1084" s="167">
        <v>234335</v>
      </c>
      <c r="M1084" s="167"/>
      <c r="N1084" s="167">
        <f>SUM(L1084,M1084)</f>
        <v>234335</v>
      </c>
      <c r="O1084" s="640">
        <f t="shared" si="193"/>
        <v>0</v>
      </c>
      <c r="P1084" s="405"/>
      <c r="Q1084" s="635">
        <f t="shared" si="194"/>
        <v>0</v>
      </c>
    </row>
    <row r="1085" spans="1:20" s="510" customFormat="1" ht="72" hidden="1" customHeight="1">
      <c r="A1085" s="501"/>
      <c r="B1085" s="502"/>
      <c r="C1085" s="503" t="s">
        <v>310</v>
      </c>
      <c r="D1085" s="504"/>
      <c r="E1085" s="505"/>
      <c r="F1085" s="504"/>
      <c r="G1085" s="504"/>
      <c r="H1085" s="504"/>
      <c r="I1085" s="506">
        <f>SUM(I1086:I1087)</f>
        <v>33797</v>
      </c>
      <c r="J1085" s="506">
        <f>SUM(J1086:J1087)</f>
        <v>23663</v>
      </c>
      <c r="K1085" s="506">
        <f>I1085+J1085</f>
        <v>57460</v>
      </c>
      <c r="L1085" s="507">
        <f>SUM(L1086:L1087)</f>
        <v>33797</v>
      </c>
      <c r="M1085" s="507">
        <f>SUM(M1086:M1087)</f>
        <v>23663</v>
      </c>
      <c r="N1085" s="507">
        <f>L1085+M1085</f>
        <v>57460</v>
      </c>
      <c r="O1085" s="640">
        <f t="shared" si="193"/>
        <v>9465.2000000000007</v>
      </c>
      <c r="P1085" s="508"/>
      <c r="Q1085" s="635">
        <f t="shared" si="194"/>
        <v>9465.2000000000007</v>
      </c>
      <c r="R1085" s="508"/>
      <c r="S1085" s="508"/>
      <c r="T1085" s="509"/>
    </row>
    <row r="1086" spans="1:20" ht="54.75" customHeight="1">
      <c r="A1086" s="273" t="s">
        <v>616</v>
      </c>
      <c r="B1086" s="481" t="s">
        <v>1027</v>
      </c>
      <c r="C1086" s="490" t="s">
        <v>681</v>
      </c>
      <c r="D1086" s="483">
        <v>8100</v>
      </c>
      <c r="E1086" s="484">
        <v>108288</v>
      </c>
      <c r="F1086" s="526" t="s">
        <v>78</v>
      </c>
      <c r="G1086" s="488" t="s">
        <v>245</v>
      </c>
      <c r="H1086" s="489">
        <v>1</v>
      </c>
      <c r="I1086" s="473">
        <f>INT(L1086*$Q$139)</f>
        <v>33797</v>
      </c>
      <c r="J1086" s="473">
        <f>INT(M1086*$R$139)</f>
        <v>23663</v>
      </c>
      <c r="K1086" s="473">
        <f>SUM(I1086:J1086)</f>
        <v>57460</v>
      </c>
      <c r="L1086" s="167">
        <v>33797</v>
      </c>
      <c r="M1086" s="167">
        <v>23663</v>
      </c>
      <c r="N1086" s="167">
        <f>SUM(L1086,M1086)</f>
        <v>57460</v>
      </c>
      <c r="O1086" s="640">
        <f t="shared" si="193"/>
        <v>9465.2000000000007</v>
      </c>
      <c r="P1086" s="405"/>
      <c r="Q1086" s="635">
        <f t="shared" si="194"/>
        <v>9465.2000000000007</v>
      </c>
    </row>
    <row r="1087" spans="1:20" ht="54.75" hidden="1" customHeight="1">
      <c r="A1087" s="273"/>
      <c r="B1087" s="481" t="s">
        <v>1186</v>
      </c>
      <c r="C1087" s="490" t="s">
        <v>1074</v>
      </c>
      <c r="D1087" s="483">
        <v>112</v>
      </c>
      <c r="E1087" s="484">
        <v>108288</v>
      </c>
      <c r="F1087" s="526" t="s">
        <v>78</v>
      </c>
      <c r="G1087" s="488" t="s">
        <v>1075</v>
      </c>
      <c r="H1087" s="489"/>
      <c r="I1087" s="473">
        <f>INT(L1087*$Q$139)</f>
        <v>0</v>
      </c>
      <c r="J1087" s="473">
        <f>INT(M1087*$R$139)</f>
        <v>0</v>
      </c>
      <c r="K1087" s="473">
        <f>SUM(I1087:J1087)</f>
        <v>0</v>
      </c>
      <c r="L1087" s="167"/>
      <c r="M1087" s="167"/>
      <c r="N1087" s="167">
        <f>SUM(L1087,M1087)</f>
        <v>0</v>
      </c>
      <c r="O1087" s="640">
        <f t="shared" si="193"/>
        <v>0</v>
      </c>
      <c r="P1087" s="405"/>
      <c r="Q1087" s="635">
        <f t="shared" si="194"/>
        <v>0</v>
      </c>
    </row>
    <row r="1088" spans="1:20" ht="41.25" hidden="1" customHeight="1">
      <c r="A1088" s="149"/>
      <c r="B1088" s="149"/>
      <c r="C1088" s="143" t="s">
        <v>274</v>
      </c>
      <c r="D1088" s="144"/>
      <c r="E1088" s="144"/>
      <c r="F1088" s="137"/>
      <c r="G1088" s="143"/>
      <c r="H1088" s="135"/>
      <c r="I1088" s="391">
        <f t="shared" ref="I1088:N1088" si="197">SUM(I1089:I1090)</f>
        <v>0</v>
      </c>
      <c r="J1088" s="391">
        <f t="shared" si="197"/>
        <v>0</v>
      </c>
      <c r="K1088" s="391">
        <f t="shared" si="197"/>
        <v>0</v>
      </c>
      <c r="L1088" s="391">
        <f t="shared" si="197"/>
        <v>0</v>
      </c>
      <c r="M1088" s="391">
        <f t="shared" si="197"/>
        <v>0</v>
      </c>
      <c r="N1088" s="391">
        <f t="shared" si="197"/>
        <v>0</v>
      </c>
      <c r="O1088" s="640">
        <f t="shared" si="193"/>
        <v>0</v>
      </c>
      <c r="Q1088" s="635">
        <f t="shared" si="194"/>
        <v>0</v>
      </c>
    </row>
    <row r="1089" spans="1:20" ht="48.75" hidden="1" customHeight="1">
      <c r="A1089" s="273" t="s">
        <v>835</v>
      </c>
      <c r="B1089" s="273" t="s">
        <v>835</v>
      </c>
      <c r="C1089" s="183" t="s">
        <v>681</v>
      </c>
      <c r="D1089" s="228">
        <v>112</v>
      </c>
      <c r="E1089" s="229" t="s">
        <v>795</v>
      </c>
      <c r="F1089" s="230" t="s">
        <v>78</v>
      </c>
      <c r="G1089" s="237" t="s">
        <v>725</v>
      </c>
      <c r="H1089" s="251">
        <v>1</v>
      </c>
      <c r="I1089" s="388">
        <f>INT(L1089*$Q$139)</f>
        <v>0</v>
      </c>
      <c r="J1089" s="388">
        <f>INT(M1089*$R$139)</f>
        <v>0</v>
      </c>
      <c r="K1089" s="388">
        <f>SUM(I1089:J1089)</f>
        <v>0</v>
      </c>
      <c r="L1089" s="167"/>
      <c r="M1089" s="168"/>
      <c r="N1089" s="167">
        <f>SUM(L1089,M1089)</f>
        <v>0</v>
      </c>
      <c r="O1089" s="640">
        <f t="shared" si="193"/>
        <v>0</v>
      </c>
      <c r="Q1089" s="635">
        <f t="shared" si="194"/>
        <v>0</v>
      </c>
    </row>
    <row r="1090" spans="1:20" ht="48.75" hidden="1" customHeight="1">
      <c r="A1090" s="273" t="s">
        <v>837</v>
      </c>
      <c r="B1090" s="273" t="s">
        <v>837</v>
      </c>
      <c r="C1090" s="241" t="s">
        <v>316</v>
      </c>
      <c r="D1090" s="228">
        <v>112</v>
      </c>
      <c r="E1090" s="229" t="s">
        <v>795</v>
      </c>
      <c r="F1090" s="230" t="s">
        <v>78</v>
      </c>
      <c r="G1090" s="242" t="s">
        <v>315</v>
      </c>
      <c r="H1090" s="251">
        <v>1</v>
      </c>
      <c r="I1090" s="388">
        <f>INT(L1090*$Q$139)</f>
        <v>0</v>
      </c>
      <c r="J1090" s="388">
        <f>INT(M1090*$R$139)</f>
        <v>0</v>
      </c>
      <c r="K1090" s="388">
        <f>SUM(I1090:J1090)</f>
        <v>0</v>
      </c>
      <c r="L1090" s="167"/>
      <c r="M1090" s="167"/>
      <c r="N1090" s="167">
        <f>SUM(L1090,M1090)</f>
        <v>0</v>
      </c>
      <c r="O1090" s="640">
        <f t="shared" si="193"/>
        <v>0</v>
      </c>
      <c r="Q1090" s="635">
        <f t="shared" si="194"/>
        <v>0</v>
      </c>
    </row>
    <row r="1091" spans="1:20" s="510" customFormat="1" ht="72" hidden="1" customHeight="1">
      <c r="A1091" s="501"/>
      <c r="B1091" s="502"/>
      <c r="C1091" s="503" t="s">
        <v>312</v>
      </c>
      <c r="D1091" s="504"/>
      <c r="E1091" s="505"/>
      <c r="F1091" s="504"/>
      <c r="G1091" s="504"/>
      <c r="H1091" s="504"/>
      <c r="I1091" s="506">
        <f>SUM(I1092:I1093)</f>
        <v>33121</v>
      </c>
      <c r="J1091" s="506">
        <f>SUM(J1092:J1093)</f>
        <v>9315</v>
      </c>
      <c r="K1091" s="506">
        <f>I1091+J1091</f>
        <v>42436</v>
      </c>
      <c r="L1091" s="507">
        <f>SUM(L1092:L1093)</f>
        <v>33121</v>
      </c>
      <c r="M1091" s="507">
        <f>SUM(M1092:M1093)</f>
        <v>9315</v>
      </c>
      <c r="N1091" s="507">
        <f>L1091+M1091</f>
        <v>42436</v>
      </c>
      <c r="O1091" s="640">
        <f t="shared" si="193"/>
        <v>3726</v>
      </c>
      <c r="P1091" s="508"/>
      <c r="Q1091" s="635">
        <f t="shared" si="194"/>
        <v>3726</v>
      </c>
      <c r="R1091" s="508"/>
      <c r="S1091" s="508"/>
      <c r="T1091" s="509"/>
    </row>
    <row r="1092" spans="1:20" ht="54.75" customHeight="1">
      <c r="A1092" s="273" t="s">
        <v>631</v>
      </c>
      <c r="B1092" s="481" t="s">
        <v>1030</v>
      </c>
      <c r="C1092" s="490" t="s">
        <v>316</v>
      </c>
      <c r="D1092" s="483">
        <v>8100</v>
      </c>
      <c r="E1092" s="484">
        <v>108288</v>
      </c>
      <c r="F1092" s="526" t="s">
        <v>78</v>
      </c>
      <c r="G1092" s="488" t="s">
        <v>315</v>
      </c>
      <c r="H1092" s="489">
        <v>1</v>
      </c>
      <c r="I1092" s="473">
        <f>INT(L1092*$Q$139)</f>
        <v>33121</v>
      </c>
      <c r="J1092" s="473">
        <f>INT(M1092*$R$139)</f>
        <v>9315</v>
      </c>
      <c r="K1092" s="473">
        <f>SUM(I1092:J1092)</f>
        <v>42436</v>
      </c>
      <c r="L1092" s="167">
        <v>33121</v>
      </c>
      <c r="M1092" s="167">
        <v>9315</v>
      </c>
      <c r="N1092" s="167">
        <f>SUM(L1092,M1092)</f>
        <v>42436</v>
      </c>
      <c r="O1092" s="640">
        <f t="shared" si="193"/>
        <v>3726</v>
      </c>
      <c r="P1092" s="405"/>
      <c r="Q1092" s="635">
        <f t="shared" si="194"/>
        <v>3726</v>
      </c>
    </row>
    <row r="1093" spans="1:20" ht="54.75" hidden="1" customHeight="1">
      <c r="A1093" s="273" t="s">
        <v>631</v>
      </c>
      <c r="B1093" s="481" t="s">
        <v>1188</v>
      </c>
      <c r="C1093" s="490" t="s">
        <v>1187</v>
      </c>
      <c r="D1093" s="483">
        <v>112</v>
      </c>
      <c r="E1093" s="484">
        <v>108288</v>
      </c>
      <c r="F1093" s="526" t="s">
        <v>78</v>
      </c>
      <c r="G1093" s="488" t="s">
        <v>1075</v>
      </c>
      <c r="H1093" s="489"/>
      <c r="I1093" s="473">
        <f>INT(L1093*$Q$139)</f>
        <v>0</v>
      </c>
      <c r="J1093" s="473">
        <f>INT(M1093*$R$139)</f>
        <v>0</v>
      </c>
      <c r="K1093" s="473">
        <f>SUM(I1093:J1093)</f>
        <v>0</v>
      </c>
      <c r="L1093" s="167"/>
      <c r="M1093" s="167"/>
      <c r="N1093" s="167">
        <f>SUM(L1093,M1093)</f>
        <v>0</v>
      </c>
      <c r="O1093" s="640">
        <f t="shared" si="193"/>
        <v>0</v>
      </c>
      <c r="P1093" s="405"/>
      <c r="Q1093" s="635">
        <f t="shared" si="194"/>
        <v>0</v>
      </c>
    </row>
    <row r="1094" spans="1:20" ht="66.75" hidden="1" customHeight="1" thickBot="1">
      <c r="A1094" s="25"/>
      <c r="B1094" s="1287" t="s">
        <v>1276</v>
      </c>
      <c r="C1094" s="1287"/>
      <c r="D1094" s="1287"/>
      <c r="E1094" s="1287"/>
      <c r="F1094" s="1287"/>
      <c r="G1094" s="1287"/>
      <c r="H1094" s="1287"/>
      <c r="I1094" s="1287"/>
      <c r="J1094" s="1287"/>
      <c r="K1094" s="1287"/>
      <c r="L1094" s="596"/>
      <c r="M1094" s="596"/>
      <c r="N1094" s="596"/>
      <c r="O1094" s="640">
        <f t="shared" si="193"/>
        <v>0</v>
      </c>
      <c r="P1094" s="27"/>
      <c r="Q1094" s="635">
        <f t="shared" si="194"/>
        <v>0</v>
      </c>
      <c r="R1094" s="27"/>
      <c r="S1094" s="27"/>
      <c r="T1094" s="27"/>
    </row>
    <row r="1095" spans="1:20" ht="27" hidden="1" customHeight="1">
      <c r="C1095" s="1204" t="s">
        <v>51</v>
      </c>
      <c r="D1095" s="1204"/>
      <c r="E1095" s="1204"/>
      <c r="F1095" s="1204"/>
      <c r="H1095" s="1243" t="s">
        <v>11</v>
      </c>
      <c r="I1095" s="1244"/>
      <c r="J1095" s="1244"/>
      <c r="K1095" s="1245"/>
      <c r="L1095" s="337"/>
      <c r="M1095" s="337"/>
      <c r="N1095" s="337"/>
      <c r="O1095" s="640">
        <f t="shared" si="193"/>
        <v>0</v>
      </c>
      <c r="P1095" s="27"/>
      <c r="Q1095" s="635">
        <f t="shared" si="194"/>
        <v>0</v>
      </c>
      <c r="R1095" s="27"/>
      <c r="S1095" s="27"/>
      <c r="T1095" s="27"/>
    </row>
    <row r="1096" spans="1:20" ht="27" hidden="1" customHeight="1">
      <c r="C1096" s="1204" t="s">
        <v>52</v>
      </c>
      <c r="D1096" s="1204"/>
      <c r="E1096" s="1204"/>
      <c r="F1096" s="1204"/>
      <c r="G1096" s="44"/>
      <c r="H1096" s="1208" t="s">
        <v>21</v>
      </c>
      <c r="I1096" s="1209"/>
      <c r="J1096" s="1209"/>
      <c r="K1096" s="1210"/>
      <c r="L1096" s="336"/>
      <c r="M1096" s="336"/>
      <c r="N1096" s="336"/>
      <c r="O1096" s="640">
        <f t="shared" si="193"/>
        <v>0</v>
      </c>
      <c r="P1096" s="27"/>
      <c r="Q1096" s="635">
        <f t="shared" si="194"/>
        <v>0</v>
      </c>
      <c r="R1096" s="27"/>
      <c r="S1096" s="27"/>
      <c r="T1096" s="27"/>
    </row>
    <row r="1097" spans="1:20" ht="27" hidden="1" customHeight="1">
      <c r="C1097" s="1204" t="s">
        <v>50</v>
      </c>
      <c r="D1097" s="1204"/>
      <c r="E1097" s="1204"/>
      <c r="F1097" s="1204"/>
      <c r="G1097" s="44"/>
      <c r="H1097" s="1211"/>
      <c r="I1097" s="1212"/>
      <c r="J1097" s="1212"/>
      <c r="K1097" s="1213"/>
      <c r="L1097" s="336"/>
      <c r="M1097" s="336"/>
      <c r="N1097" s="336"/>
      <c r="O1097" s="640">
        <f t="shared" si="193"/>
        <v>0</v>
      </c>
      <c r="P1097" s="27"/>
      <c r="Q1097" s="635">
        <f t="shared" si="194"/>
        <v>0</v>
      </c>
      <c r="R1097" s="27"/>
      <c r="S1097" s="27"/>
      <c r="T1097" s="27"/>
    </row>
    <row r="1098" spans="1:20" ht="42" hidden="1" customHeight="1">
      <c r="C1098" s="1252"/>
      <c r="D1098" s="1252"/>
      <c r="E1098" s="1252"/>
      <c r="F1098" s="1252"/>
      <c r="G1098" s="44"/>
      <c r="H1098" s="1211" t="s">
        <v>22</v>
      </c>
      <c r="I1098" s="1212"/>
      <c r="J1098" s="1212"/>
      <c r="K1098" s="477">
        <f>K1144</f>
        <v>14317270</v>
      </c>
      <c r="L1098" s="336"/>
      <c r="M1098" s="336"/>
      <c r="N1098" s="86"/>
      <c r="O1098" s="640">
        <f t="shared" si="193"/>
        <v>0</v>
      </c>
      <c r="P1098" s="27"/>
      <c r="Q1098" s="635">
        <f t="shared" si="194"/>
        <v>0</v>
      </c>
      <c r="R1098" s="27"/>
      <c r="S1098" s="27"/>
      <c r="T1098" s="27"/>
    </row>
    <row r="1099" spans="1:20" ht="45" hidden="1" customHeight="1" thickBot="1">
      <c r="A1099" s="75"/>
      <c r="B1099" s="75"/>
      <c r="C1099" s="65"/>
      <c r="D1099" s="65"/>
      <c r="E1099" s="65"/>
      <c r="F1099" s="10"/>
      <c r="G1099" s="10"/>
      <c r="H1099" s="1283" t="s">
        <v>13</v>
      </c>
      <c r="I1099" s="1284"/>
      <c r="J1099" s="1284"/>
      <c r="K1099" s="1285"/>
      <c r="L1099" s="336"/>
      <c r="M1099" s="336"/>
      <c r="N1099" s="336"/>
      <c r="O1099" s="640">
        <f t="shared" si="193"/>
        <v>0</v>
      </c>
      <c r="P1099" s="27"/>
      <c r="Q1099" s="635">
        <f t="shared" si="194"/>
        <v>0</v>
      </c>
      <c r="R1099" s="27"/>
      <c r="S1099" s="27"/>
      <c r="T1099" s="27"/>
    </row>
    <row r="1100" spans="1:20" ht="17.100000000000001" hidden="1" customHeight="1">
      <c r="A1100" s="75"/>
      <c r="B1100" s="75"/>
      <c r="C1100" s="65"/>
      <c r="D1100" s="65"/>
      <c r="E1100" s="65"/>
      <c r="F1100" s="10"/>
      <c r="G1100" s="10"/>
      <c r="H1100" s="20"/>
      <c r="I1100" s="20"/>
      <c r="J1100" s="20"/>
      <c r="K1100" s="20"/>
      <c r="L1100" s="20"/>
      <c r="M1100" s="20"/>
      <c r="N1100" s="20"/>
      <c r="O1100" s="640">
        <f t="shared" si="193"/>
        <v>0</v>
      </c>
      <c r="P1100" s="27"/>
      <c r="Q1100" s="635">
        <f t="shared" si="194"/>
        <v>0</v>
      </c>
      <c r="R1100" s="27"/>
      <c r="S1100" s="27"/>
      <c r="T1100" s="27"/>
    </row>
    <row r="1101" spans="1:20" ht="39.950000000000003" hidden="1" customHeight="1">
      <c r="A1101" s="346"/>
      <c r="B1101" s="1226" t="s">
        <v>1037</v>
      </c>
      <c r="C1101" s="1226"/>
      <c r="D1101" s="1226"/>
      <c r="E1101" s="1226"/>
      <c r="F1101" s="1226"/>
      <c r="G1101" s="1226"/>
      <c r="H1101" s="1226"/>
      <c r="I1101" s="1226"/>
      <c r="J1101" s="1226"/>
      <c r="K1101" s="1226"/>
      <c r="L1101" s="346"/>
      <c r="M1101" s="346"/>
      <c r="N1101" s="346"/>
      <c r="O1101" s="640">
        <f t="shared" si="193"/>
        <v>0</v>
      </c>
      <c r="P1101" s="27"/>
      <c r="Q1101" s="635">
        <f t="shared" si="194"/>
        <v>0</v>
      </c>
      <c r="R1101" s="27"/>
      <c r="S1101" s="27"/>
      <c r="T1101" s="27"/>
    </row>
    <row r="1102" spans="1:20" ht="20.100000000000001" hidden="1" customHeight="1">
      <c r="A1102" s="46"/>
      <c r="B1102" s="46"/>
      <c r="C1102" s="46"/>
      <c r="D1102" s="46"/>
      <c r="E1102" s="46"/>
      <c r="F1102" s="46"/>
      <c r="G1102" s="46"/>
      <c r="H1102" s="46"/>
      <c r="I1102" s="46"/>
      <c r="J1102" s="46"/>
      <c r="K1102" s="46"/>
      <c r="L1102" s="46"/>
      <c r="M1102" s="46"/>
      <c r="N1102" s="46"/>
      <c r="O1102" s="640">
        <f t="shared" si="193"/>
        <v>0</v>
      </c>
      <c r="P1102" s="27"/>
      <c r="Q1102" s="635">
        <f t="shared" si="194"/>
        <v>0</v>
      </c>
      <c r="R1102" s="27"/>
      <c r="S1102" s="27"/>
      <c r="T1102" s="27"/>
    </row>
    <row r="1103" spans="1:20" s="500" customFormat="1" ht="90" hidden="1">
      <c r="A1103" s="496" t="s">
        <v>14</v>
      </c>
      <c r="B1103" s="497" t="s">
        <v>14</v>
      </c>
      <c r="C1103" s="497" t="s">
        <v>37</v>
      </c>
      <c r="D1103" s="497" t="s">
        <v>440</v>
      </c>
      <c r="E1103" s="497" t="s">
        <v>16</v>
      </c>
      <c r="F1103" s="497" t="s">
        <v>185</v>
      </c>
      <c r="G1103" s="497" t="s">
        <v>178</v>
      </c>
      <c r="H1103" s="497" t="s">
        <v>179</v>
      </c>
      <c r="I1103" s="497" t="s">
        <v>180</v>
      </c>
      <c r="J1103" s="497" t="s">
        <v>1275</v>
      </c>
      <c r="K1103" s="497" t="s">
        <v>200</v>
      </c>
      <c r="L1103" s="496" t="s">
        <v>180</v>
      </c>
      <c r="M1103" s="496" t="s">
        <v>181</v>
      </c>
      <c r="N1103" s="496" t="s">
        <v>200</v>
      </c>
      <c r="O1103" s="640" t="e">
        <f t="shared" si="193"/>
        <v>#VALUE!</v>
      </c>
      <c r="P1103" s="498"/>
      <c r="Q1103" s="635" t="e">
        <f t="shared" si="194"/>
        <v>#VALUE!</v>
      </c>
      <c r="R1103" s="498"/>
      <c r="S1103" s="498"/>
      <c r="T1103" s="499"/>
    </row>
    <row r="1104" spans="1:20" s="579" customFormat="1" ht="46.5" customHeight="1">
      <c r="A1104" s="572"/>
      <c r="B1104" s="572"/>
      <c r="C1104" s="573" t="s">
        <v>88</v>
      </c>
      <c r="D1104" s="574"/>
      <c r="E1104" s="574"/>
      <c r="F1104" s="575" t="s">
        <v>115</v>
      </c>
      <c r="G1104" s="576"/>
      <c r="H1104" s="576"/>
      <c r="I1104" s="577">
        <f>SUM(I1107,I1109,I1114,I1118,I1112,I1105)</f>
        <v>339661</v>
      </c>
      <c r="J1104" s="577">
        <f>SUM(J1107,J1109,J1114,J1118,J1112,J1105)</f>
        <v>28499</v>
      </c>
      <c r="K1104" s="577">
        <f>I1104+J1104</f>
        <v>368160</v>
      </c>
      <c r="L1104" s="578">
        <f>SUM(L1107,L1109,L1114,L1118,L1112,L1105)</f>
        <v>339661</v>
      </c>
      <c r="M1104" s="578">
        <f>SUM(M1107,M1109,M1114,M1118,M1112,M1105)</f>
        <v>28499</v>
      </c>
      <c r="N1104" s="578">
        <f>L1104+M1104</f>
        <v>368160</v>
      </c>
      <c r="O1104" s="644">
        <f t="shared" si="193"/>
        <v>11399.6</v>
      </c>
      <c r="Q1104" s="635">
        <f t="shared" si="194"/>
        <v>11399.6</v>
      </c>
    </row>
    <row r="1105" spans="1:20" s="510" customFormat="1" ht="72" hidden="1" customHeight="1">
      <c r="A1105" s="501"/>
      <c r="B1105" s="502"/>
      <c r="C1105" s="503" t="s">
        <v>292</v>
      </c>
      <c r="D1105" s="504"/>
      <c r="E1105" s="505"/>
      <c r="F1105" s="504"/>
      <c r="G1105" s="504"/>
      <c r="H1105" s="504"/>
      <c r="I1105" s="506">
        <f>SUM(I1106)</f>
        <v>0</v>
      </c>
      <c r="J1105" s="506">
        <f>SUM(J1106)</f>
        <v>1722</v>
      </c>
      <c r="K1105" s="506">
        <f>I1105+J1105</f>
        <v>1722</v>
      </c>
      <c r="L1105" s="507">
        <f>SUM(L1106)</f>
        <v>0</v>
      </c>
      <c r="M1105" s="507">
        <f>SUM(M1106)</f>
        <v>1722</v>
      </c>
      <c r="N1105" s="507">
        <f>L1105+M1105</f>
        <v>1722</v>
      </c>
      <c r="O1105" s="640">
        <f t="shared" si="193"/>
        <v>688.8</v>
      </c>
      <c r="P1105" s="508"/>
      <c r="Q1105" s="635">
        <f t="shared" si="194"/>
        <v>688.8</v>
      </c>
      <c r="R1105" s="508"/>
      <c r="S1105" s="508"/>
      <c r="T1105" s="509"/>
    </row>
    <row r="1106" spans="1:20" ht="54.75" customHeight="1">
      <c r="A1106" s="273" t="s">
        <v>668</v>
      </c>
      <c r="B1106" s="481" t="s">
        <v>1191</v>
      </c>
      <c r="C1106" s="490" t="s">
        <v>330</v>
      </c>
      <c r="D1106" s="483">
        <v>8100</v>
      </c>
      <c r="E1106" s="484">
        <v>108288</v>
      </c>
      <c r="F1106" s="526" t="s">
        <v>91</v>
      </c>
      <c r="G1106" s="488" t="s">
        <v>910</v>
      </c>
      <c r="H1106" s="491">
        <v>1</v>
      </c>
      <c r="I1106" s="473">
        <f>INT(L1106*$Q$139)</f>
        <v>0</v>
      </c>
      <c r="J1106" s="473">
        <f>INT(M1106*$R$139)</f>
        <v>1722</v>
      </c>
      <c r="K1106" s="473">
        <f>SUM(I1106:J1106)</f>
        <v>1722</v>
      </c>
      <c r="L1106" s="167"/>
      <c r="M1106" s="167">
        <v>1722</v>
      </c>
      <c r="N1106" s="167">
        <f>SUM(L1106,M1106)</f>
        <v>1722</v>
      </c>
      <c r="O1106" s="640">
        <f t="shared" si="193"/>
        <v>688.8</v>
      </c>
      <c r="P1106" s="405"/>
      <c r="Q1106" s="635">
        <f t="shared" si="194"/>
        <v>688.8</v>
      </c>
    </row>
    <row r="1107" spans="1:20" s="510" customFormat="1" ht="72" hidden="1" customHeight="1">
      <c r="A1107" s="501"/>
      <c r="B1107" s="502"/>
      <c r="C1107" s="503" t="s">
        <v>141</v>
      </c>
      <c r="D1107" s="504"/>
      <c r="E1107" s="505"/>
      <c r="F1107" s="504"/>
      <c r="G1107" s="504"/>
      <c r="H1107" s="504"/>
      <c r="I1107" s="506">
        <f>SUM(I1108)</f>
        <v>234779</v>
      </c>
      <c r="J1107" s="506">
        <f>SUM(J1108)</f>
        <v>0</v>
      </c>
      <c r="K1107" s="506">
        <f>I1107+J1107</f>
        <v>234779</v>
      </c>
      <c r="L1107" s="507">
        <f>SUM(L1108)</f>
        <v>234779</v>
      </c>
      <c r="M1107" s="507">
        <f>SUM(M1108)</f>
        <v>0</v>
      </c>
      <c r="N1107" s="507">
        <f>L1107+M1107</f>
        <v>234779</v>
      </c>
      <c r="O1107" s="640">
        <f t="shared" si="193"/>
        <v>0</v>
      </c>
      <c r="P1107" s="508"/>
      <c r="Q1107" s="635">
        <f t="shared" si="194"/>
        <v>0</v>
      </c>
      <c r="R1107" s="508"/>
      <c r="S1107" s="508"/>
      <c r="T1107" s="509"/>
    </row>
    <row r="1108" spans="1:20" ht="54.75" hidden="1" customHeight="1">
      <c r="A1108" s="273" t="s">
        <v>614</v>
      </c>
      <c r="B1108" s="481" t="s">
        <v>1173</v>
      </c>
      <c r="C1108" s="490" t="s">
        <v>317</v>
      </c>
      <c r="D1108" s="483">
        <v>8100</v>
      </c>
      <c r="E1108" s="484">
        <v>108288</v>
      </c>
      <c r="F1108" s="526" t="s">
        <v>91</v>
      </c>
      <c r="G1108" s="488" t="s">
        <v>143</v>
      </c>
      <c r="H1108" s="489">
        <v>1492</v>
      </c>
      <c r="I1108" s="473">
        <f>INT(L1108*$Q$139)</f>
        <v>234779</v>
      </c>
      <c r="J1108" s="473">
        <f>INT(M1108*$R$139)</f>
        <v>0</v>
      </c>
      <c r="K1108" s="473">
        <f>SUM(I1108:J1108)</f>
        <v>234779</v>
      </c>
      <c r="L1108" s="167">
        <v>234779</v>
      </c>
      <c r="M1108" s="167"/>
      <c r="N1108" s="167">
        <f>SUM(L1108,M1108)</f>
        <v>234779</v>
      </c>
      <c r="O1108" s="640">
        <f t="shared" si="193"/>
        <v>0</v>
      </c>
      <c r="P1108" s="405"/>
      <c r="Q1108" s="635">
        <f t="shared" si="194"/>
        <v>0</v>
      </c>
    </row>
    <row r="1109" spans="1:20" s="510" customFormat="1" ht="72" hidden="1" customHeight="1">
      <c r="A1109" s="501"/>
      <c r="B1109" s="502"/>
      <c r="C1109" s="503" t="s">
        <v>310</v>
      </c>
      <c r="D1109" s="504"/>
      <c r="E1109" s="505"/>
      <c r="F1109" s="504"/>
      <c r="G1109" s="504"/>
      <c r="H1109" s="504"/>
      <c r="I1109" s="506">
        <f>SUM(I1110:I1111)</f>
        <v>60832</v>
      </c>
      <c r="J1109" s="506">
        <f>SUM(J1110:J1111)</f>
        <v>16345</v>
      </c>
      <c r="K1109" s="506">
        <f>I1109+J1109</f>
        <v>77177</v>
      </c>
      <c r="L1109" s="507">
        <f>SUM(L1110:L1111)</f>
        <v>60832</v>
      </c>
      <c r="M1109" s="507">
        <f>SUM(M1110:M1111)</f>
        <v>16345</v>
      </c>
      <c r="N1109" s="507">
        <f>L1109+M1109</f>
        <v>77177</v>
      </c>
      <c r="O1109" s="640">
        <f t="shared" si="193"/>
        <v>6538</v>
      </c>
      <c r="P1109" s="508"/>
      <c r="Q1109" s="635">
        <f t="shared" si="194"/>
        <v>6538</v>
      </c>
      <c r="R1109" s="508"/>
      <c r="S1109" s="508"/>
      <c r="T1109" s="509"/>
    </row>
    <row r="1110" spans="1:20" ht="54.75" customHeight="1">
      <c r="A1110" s="273" t="s">
        <v>616</v>
      </c>
      <c r="B1110" s="481" t="s">
        <v>1027</v>
      </c>
      <c r="C1110" s="490" t="s">
        <v>681</v>
      </c>
      <c r="D1110" s="483">
        <v>8100</v>
      </c>
      <c r="E1110" s="484">
        <v>108288</v>
      </c>
      <c r="F1110" s="526" t="s">
        <v>91</v>
      </c>
      <c r="G1110" s="488" t="s">
        <v>725</v>
      </c>
      <c r="H1110" s="489">
        <v>1</v>
      </c>
      <c r="I1110" s="473">
        <f>INT(L1110*$Q$139)</f>
        <v>60832</v>
      </c>
      <c r="J1110" s="473">
        <f>INT(M1110*$R$139)</f>
        <v>16345</v>
      </c>
      <c r="K1110" s="473">
        <f>SUM(I1110:J1110)</f>
        <v>77177</v>
      </c>
      <c r="L1110" s="167">
        <v>60832</v>
      </c>
      <c r="M1110" s="167">
        <v>16345</v>
      </c>
      <c r="N1110" s="167">
        <f>SUM(L1110,M1110)</f>
        <v>77177</v>
      </c>
      <c r="O1110" s="640">
        <f t="shared" si="193"/>
        <v>6538</v>
      </c>
      <c r="P1110" s="405"/>
      <c r="Q1110" s="635">
        <f t="shared" si="194"/>
        <v>6538</v>
      </c>
    </row>
    <row r="1111" spans="1:20" ht="54.75" hidden="1" customHeight="1">
      <c r="A1111" s="273"/>
      <c r="B1111" s="481" t="s">
        <v>1186</v>
      </c>
      <c r="C1111" s="490" t="s">
        <v>1074</v>
      </c>
      <c r="D1111" s="483">
        <v>100</v>
      </c>
      <c r="E1111" s="484">
        <v>108288</v>
      </c>
      <c r="F1111" s="526" t="s">
        <v>91</v>
      </c>
      <c r="G1111" s="488" t="s">
        <v>1075</v>
      </c>
      <c r="H1111" s="489"/>
      <c r="I1111" s="473">
        <f>INT(L1111*$Q$139)</f>
        <v>0</v>
      </c>
      <c r="J1111" s="473">
        <f>INT(M1111*$R$139)</f>
        <v>0</v>
      </c>
      <c r="K1111" s="473">
        <f>SUM(I1111:J1111)</f>
        <v>0</v>
      </c>
      <c r="L1111" s="167"/>
      <c r="M1111" s="167"/>
      <c r="N1111" s="167">
        <f>SUM(L1111,M1111)</f>
        <v>0</v>
      </c>
      <c r="O1111" s="640">
        <f t="shared" si="193"/>
        <v>0</v>
      </c>
      <c r="P1111" s="405"/>
      <c r="Q1111" s="635">
        <f t="shared" si="194"/>
        <v>0</v>
      </c>
    </row>
    <row r="1112" spans="1:20" s="510" customFormat="1" ht="72" hidden="1" customHeight="1">
      <c r="A1112" s="501"/>
      <c r="B1112" s="502"/>
      <c r="C1112" s="503" t="s">
        <v>278</v>
      </c>
      <c r="D1112" s="504"/>
      <c r="E1112" s="505"/>
      <c r="F1112" s="504"/>
      <c r="G1112" s="504"/>
      <c r="H1112" s="504"/>
      <c r="I1112" s="506">
        <f>SUM(I1113)</f>
        <v>6000</v>
      </c>
      <c r="J1112" s="506">
        <f>SUM(J1113)</f>
        <v>0</v>
      </c>
      <c r="K1112" s="506">
        <f>I1112+J1112</f>
        <v>6000</v>
      </c>
      <c r="L1112" s="507">
        <f>SUM(L1113)</f>
        <v>6000</v>
      </c>
      <c r="M1112" s="507">
        <f>SUM(M1113)</f>
        <v>0</v>
      </c>
      <c r="N1112" s="507">
        <f>L1112+M1112</f>
        <v>6000</v>
      </c>
      <c r="O1112" s="640">
        <f t="shared" si="193"/>
        <v>0</v>
      </c>
      <c r="P1112" s="508"/>
      <c r="Q1112" s="635">
        <f t="shared" si="194"/>
        <v>0</v>
      </c>
      <c r="R1112" s="508"/>
      <c r="S1112" s="508"/>
      <c r="T1112" s="509"/>
    </row>
    <row r="1113" spans="1:20" ht="54.75" hidden="1" customHeight="1">
      <c r="A1113" s="273" t="s">
        <v>653</v>
      </c>
      <c r="B1113" s="481" t="s">
        <v>1031</v>
      </c>
      <c r="C1113" s="490" t="s">
        <v>319</v>
      </c>
      <c r="D1113" s="483">
        <v>8100</v>
      </c>
      <c r="E1113" s="484" t="s">
        <v>686</v>
      </c>
      <c r="F1113" s="526" t="s">
        <v>91</v>
      </c>
      <c r="G1113" s="488" t="s">
        <v>18</v>
      </c>
      <c r="H1113" s="489">
        <v>10</v>
      </c>
      <c r="I1113" s="473">
        <f>INT(L1113*$Q$139)</f>
        <v>6000</v>
      </c>
      <c r="J1113" s="473">
        <f>INT(M1113*$R$139)</f>
        <v>0</v>
      </c>
      <c r="K1113" s="473">
        <f>SUM(I1113:J1113)</f>
        <v>6000</v>
      </c>
      <c r="L1113" s="167">
        <v>6000</v>
      </c>
      <c r="M1113" s="167"/>
      <c r="N1113" s="167">
        <f>SUM(L1113,M1113)</f>
        <v>6000</v>
      </c>
      <c r="O1113" s="640">
        <f t="shared" si="193"/>
        <v>0</v>
      </c>
      <c r="P1113" s="405"/>
      <c r="Q1113" s="635">
        <f t="shared" si="194"/>
        <v>0</v>
      </c>
    </row>
    <row r="1114" spans="1:20" ht="41.25" hidden="1" customHeight="1">
      <c r="A1114" s="149"/>
      <c r="B1114" s="149"/>
      <c r="C1114" s="143" t="s">
        <v>274</v>
      </c>
      <c r="D1114" s="144"/>
      <c r="E1114" s="144"/>
      <c r="F1114" s="137"/>
      <c r="G1114" s="143"/>
      <c r="H1114" s="135"/>
      <c r="I1114" s="391">
        <f t="shared" ref="I1114:N1114" si="198">SUM(I1115:I1117)</f>
        <v>0</v>
      </c>
      <c r="J1114" s="391">
        <f t="shared" si="198"/>
        <v>0</v>
      </c>
      <c r="K1114" s="391">
        <f t="shared" si="198"/>
        <v>0</v>
      </c>
      <c r="L1114" s="391">
        <f t="shared" si="198"/>
        <v>0</v>
      </c>
      <c r="M1114" s="391">
        <f t="shared" si="198"/>
        <v>0</v>
      </c>
      <c r="N1114" s="391">
        <f t="shared" si="198"/>
        <v>0</v>
      </c>
      <c r="O1114" s="640">
        <f t="shared" si="193"/>
        <v>0</v>
      </c>
      <c r="Q1114" s="635">
        <f t="shared" si="194"/>
        <v>0</v>
      </c>
    </row>
    <row r="1115" spans="1:20" ht="48.75" hidden="1" customHeight="1">
      <c r="A1115" s="273" t="s">
        <v>835</v>
      </c>
      <c r="B1115" s="273" t="s">
        <v>835</v>
      </c>
      <c r="C1115" s="183" t="s">
        <v>681</v>
      </c>
      <c r="D1115" s="228">
        <v>112</v>
      </c>
      <c r="E1115" s="229" t="s">
        <v>795</v>
      </c>
      <c r="F1115" s="230" t="s">
        <v>91</v>
      </c>
      <c r="G1115" s="237" t="s">
        <v>725</v>
      </c>
      <c r="H1115" s="251">
        <v>1</v>
      </c>
      <c r="I1115" s="388">
        <f>INT(L1115*$Q$139)</f>
        <v>0</v>
      </c>
      <c r="J1115" s="388">
        <f>INT(M1115*$R$139)</f>
        <v>0</v>
      </c>
      <c r="K1115" s="388">
        <f>SUM(I1115:J1115)</f>
        <v>0</v>
      </c>
      <c r="L1115" s="167"/>
      <c r="M1115" s="168"/>
      <c r="N1115" s="167">
        <f>SUM(L1115,M1115)</f>
        <v>0</v>
      </c>
      <c r="O1115" s="640">
        <f t="shared" si="193"/>
        <v>0</v>
      </c>
      <c r="Q1115" s="635">
        <f t="shared" si="194"/>
        <v>0</v>
      </c>
    </row>
    <row r="1116" spans="1:20" ht="48.75" hidden="1" customHeight="1">
      <c r="A1116" s="273" t="s">
        <v>837</v>
      </c>
      <c r="B1116" s="273" t="s">
        <v>837</v>
      </c>
      <c r="C1116" s="241" t="s">
        <v>316</v>
      </c>
      <c r="D1116" s="228">
        <v>112</v>
      </c>
      <c r="E1116" s="229" t="s">
        <v>795</v>
      </c>
      <c r="F1116" s="230" t="s">
        <v>91</v>
      </c>
      <c r="G1116" s="242" t="s">
        <v>315</v>
      </c>
      <c r="H1116" s="251">
        <v>1</v>
      </c>
      <c r="I1116" s="388">
        <f>INT(L1116*$Q$139)</f>
        <v>0</v>
      </c>
      <c r="J1116" s="388">
        <f>INT(M1116*$R$139)</f>
        <v>0</v>
      </c>
      <c r="K1116" s="388">
        <f>SUM(I1116:J1116)</f>
        <v>0</v>
      </c>
      <c r="L1116" s="167"/>
      <c r="M1116" s="167"/>
      <c r="N1116" s="167">
        <f>SUM(L1116,M1116)</f>
        <v>0</v>
      </c>
      <c r="O1116" s="640">
        <f t="shared" si="193"/>
        <v>0</v>
      </c>
      <c r="Q1116" s="635">
        <f t="shared" si="194"/>
        <v>0</v>
      </c>
    </row>
    <row r="1117" spans="1:20" ht="48.75" hidden="1" customHeight="1">
      <c r="A1117" s="273" t="s">
        <v>839</v>
      </c>
      <c r="B1117" s="273" t="s">
        <v>839</v>
      </c>
      <c r="C1117" s="241" t="s">
        <v>330</v>
      </c>
      <c r="D1117" s="228">
        <v>112</v>
      </c>
      <c r="E1117" s="229" t="s">
        <v>795</v>
      </c>
      <c r="F1117" s="230" t="s">
        <v>91</v>
      </c>
      <c r="G1117" s="230" t="s">
        <v>910</v>
      </c>
      <c r="H1117" s="351">
        <v>1</v>
      </c>
      <c r="I1117" s="388">
        <f>INT(L1117*$Q$139)</f>
        <v>0</v>
      </c>
      <c r="J1117" s="388">
        <f>INT(M1117*$R$139)</f>
        <v>0</v>
      </c>
      <c r="K1117" s="388">
        <f>SUM(I1117:J1117)</f>
        <v>0</v>
      </c>
      <c r="L1117" s="167"/>
      <c r="M1117" s="167"/>
      <c r="N1117" s="167">
        <f>SUM(L1117,M1117)</f>
        <v>0</v>
      </c>
      <c r="O1117" s="640">
        <f t="shared" si="193"/>
        <v>0</v>
      </c>
      <c r="Q1117" s="635">
        <f t="shared" si="194"/>
        <v>0</v>
      </c>
    </row>
    <row r="1118" spans="1:20" s="510" customFormat="1" ht="72" hidden="1" customHeight="1">
      <c r="A1118" s="501"/>
      <c r="B1118" s="502"/>
      <c r="C1118" s="503" t="s">
        <v>312</v>
      </c>
      <c r="D1118" s="504"/>
      <c r="E1118" s="505"/>
      <c r="F1118" s="504"/>
      <c r="G1118" s="504"/>
      <c r="H1118" s="504"/>
      <c r="I1118" s="506">
        <f>SUM(I1119,I1120)</f>
        <v>38050</v>
      </c>
      <c r="J1118" s="506">
        <f>SUM(J1119,J1120)</f>
        <v>10432</v>
      </c>
      <c r="K1118" s="506">
        <f>I1118+J1118</f>
        <v>48482</v>
      </c>
      <c r="L1118" s="507">
        <f>SUM(L1119,L1120)</f>
        <v>38050</v>
      </c>
      <c r="M1118" s="507">
        <f>SUM(M1119,M1120)</f>
        <v>10432</v>
      </c>
      <c r="N1118" s="507">
        <f>L1118+M1118</f>
        <v>48482</v>
      </c>
      <c r="O1118" s="640">
        <f t="shared" si="193"/>
        <v>4172.7999999999993</v>
      </c>
      <c r="P1118" s="508"/>
      <c r="Q1118" s="635">
        <f t="shared" si="194"/>
        <v>4172.8</v>
      </c>
      <c r="R1118" s="508"/>
      <c r="S1118" s="508"/>
      <c r="T1118" s="509"/>
    </row>
    <row r="1119" spans="1:20" ht="54.75" customHeight="1">
      <c r="A1119" s="273" t="s">
        <v>631</v>
      </c>
      <c r="B1119" s="481" t="s">
        <v>1030</v>
      </c>
      <c r="C1119" s="490" t="s">
        <v>316</v>
      </c>
      <c r="D1119" s="483">
        <v>8100</v>
      </c>
      <c r="E1119" s="484">
        <v>108288</v>
      </c>
      <c r="F1119" s="526" t="s">
        <v>91</v>
      </c>
      <c r="G1119" s="488" t="s">
        <v>315</v>
      </c>
      <c r="H1119" s="489">
        <v>1</v>
      </c>
      <c r="I1119" s="473">
        <f>INT(L1119*$Q$139)</f>
        <v>38050</v>
      </c>
      <c r="J1119" s="473">
        <f>INT(M1119*$R$139)</f>
        <v>10432</v>
      </c>
      <c r="K1119" s="473">
        <f>SUM(I1119:J1119)</f>
        <v>48482</v>
      </c>
      <c r="L1119" s="167">
        <v>38050</v>
      </c>
      <c r="M1119" s="167">
        <v>10432</v>
      </c>
      <c r="N1119" s="167">
        <f>SUM(L1119,M1119)</f>
        <v>48482</v>
      </c>
      <c r="O1119" s="640">
        <f t="shared" si="193"/>
        <v>4172.7999999999993</v>
      </c>
      <c r="P1119" s="405"/>
      <c r="Q1119" s="635">
        <f t="shared" si="194"/>
        <v>4172.8</v>
      </c>
    </row>
    <row r="1120" spans="1:20" ht="54.75" hidden="1" customHeight="1">
      <c r="A1120" s="273"/>
      <c r="B1120" s="481" t="s">
        <v>1188</v>
      </c>
      <c r="C1120" s="490" t="s">
        <v>1187</v>
      </c>
      <c r="D1120" s="483">
        <v>100</v>
      </c>
      <c r="E1120" s="484">
        <v>108288</v>
      </c>
      <c r="F1120" s="526" t="s">
        <v>91</v>
      </c>
      <c r="G1120" s="488" t="s">
        <v>1075</v>
      </c>
      <c r="H1120" s="489"/>
      <c r="I1120" s="473">
        <f>INT(L1120*$Q$139)</f>
        <v>0</v>
      </c>
      <c r="J1120" s="473">
        <f>INT(M1120*$R$139)</f>
        <v>0</v>
      </c>
      <c r="K1120" s="473">
        <f>SUM(I1120:J1120)</f>
        <v>0</v>
      </c>
      <c r="L1120" s="167"/>
      <c r="M1120" s="167"/>
      <c r="N1120" s="167">
        <f>SUM(L1120,M1120)</f>
        <v>0</v>
      </c>
      <c r="O1120" s="640">
        <f t="shared" si="193"/>
        <v>0</v>
      </c>
      <c r="P1120" s="405"/>
      <c r="Q1120" s="635">
        <f t="shared" si="194"/>
        <v>0</v>
      </c>
    </row>
    <row r="1121" spans="1:20" s="579" customFormat="1" ht="46.5" customHeight="1">
      <c r="A1121" s="572"/>
      <c r="B1121" s="572"/>
      <c r="C1121" s="573" t="s">
        <v>89</v>
      </c>
      <c r="D1121" s="574"/>
      <c r="E1121" s="574"/>
      <c r="F1121" s="575" t="s">
        <v>116</v>
      </c>
      <c r="G1121" s="576"/>
      <c r="H1121" s="576"/>
      <c r="I1121" s="577">
        <f>SUM(I1122,I1125,I1127,I1130,I1132,I1136)</f>
        <v>380433</v>
      </c>
      <c r="J1121" s="577">
        <f>SUM(J1122,J1125,J1127,J1130,J1132,J1136)</f>
        <v>62652</v>
      </c>
      <c r="K1121" s="577">
        <f>I1121+J1121</f>
        <v>443085</v>
      </c>
      <c r="L1121" s="578">
        <f>SUM(L1122,L1125,L1127,L1130,L1132,L1136)</f>
        <v>380433</v>
      </c>
      <c r="M1121" s="578">
        <f>SUM(M1122,M1125,M1127,M1130,M1132,M1136)</f>
        <v>62652</v>
      </c>
      <c r="N1121" s="578">
        <f>L1121+M1121</f>
        <v>443085</v>
      </c>
      <c r="O1121" s="644">
        <f t="shared" si="193"/>
        <v>25060.799999999999</v>
      </c>
      <c r="Q1121" s="635">
        <f t="shared" si="194"/>
        <v>25060.799999999999</v>
      </c>
    </row>
    <row r="1122" spans="1:20" s="510" customFormat="1" ht="72" hidden="1" customHeight="1">
      <c r="A1122" s="501"/>
      <c r="B1122" s="502"/>
      <c r="C1122" s="503" t="s">
        <v>292</v>
      </c>
      <c r="D1122" s="504"/>
      <c r="E1122" s="505"/>
      <c r="F1122" s="504"/>
      <c r="G1122" s="504"/>
      <c r="H1122" s="504"/>
      <c r="I1122" s="506">
        <f>SUM(I1123,I1124)</f>
        <v>39245</v>
      </c>
      <c r="J1122" s="506">
        <f>SUM(J1123,J1124)</f>
        <v>2500</v>
      </c>
      <c r="K1122" s="506">
        <f>I1122+J1122</f>
        <v>41745</v>
      </c>
      <c r="L1122" s="507">
        <f>SUM(L1123,L1124)</f>
        <v>39245</v>
      </c>
      <c r="M1122" s="507">
        <f>SUM(M1123,M1124)</f>
        <v>2500</v>
      </c>
      <c r="N1122" s="507">
        <f>L1122+M1122</f>
        <v>41745</v>
      </c>
      <c r="O1122" s="640">
        <f t="shared" si="193"/>
        <v>1000</v>
      </c>
      <c r="P1122" s="508"/>
      <c r="Q1122" s="635">
        <f t="shared" si="194"/>
        <v>1000</v>
      </c>
      <c r="R1122" s="508"/>
      <c r="S1122" s="508"/>
      <c r="T1122" s="509"/>
    </row>
    <row r="1123" spans="1:20" ht="54.75" hidden="1" customHeight="1">
      <c r="A1123" s="273" t="s">
        <v>668</v>
      </c>
      <c r="B1123" s="481" t="s">
        <v>1172</v>
      </c>
      <c r="C1123" s="490" t="s">
        <v>407</v>
      </c>
      <c r="D1123" s="483">
        <v>8100</v>
      </c>
      <c r="E1123" s="484">
        <v>108288</v>
      </c>
      <c r="F1123" s="526" t="s">
        <v>92</v>
      </c>
      <c r="G1123" s="488" t="s">
        <v>147</v>
      </c>
      <c r="H1123" s="489">
        <v>1</v>
      </c>
      <c r="I1123" s="473">
        <f>INT(L1123*$Q$139)</f>
        <v>39245</v>
      </c>
      <c r="J1123" s="473">
        <f>INT(M1123*$R$139)</f>
        <v>0</v>
      </c>
      <c r="K1123" s="473">
        <f>SUM(I1123:J1123)</f>
        <v>39245</v>
      </c>
      <c r="L1123" s="167">
        <v>39245</v>
      </c>
      <c r="M1123" s="167"/>
      <c r="N1123" s="167">
        <f t="shared" ref="N1123:N1129" si="199">SUM(L1123,M1123)</f>
        <v>39245</v>
      </c>
      <c r="O1123" s="640">
        <f t="shared" si="193"/>
        <v>0</v>
      </c>
      <c r="P1123" s="405"/>
      <c r="Q1123" s="635">
        <f t="shared" si="194"/>
        <v>0</v>
      </c>
    </row>
    <row r="1124" spans="1:20" ht="54.75" customHeight="1">
      <c r="A1124" s="273" t="s">
        <v>668</v>
      </c>
      <c r="B1124" s="481" t="s">
        <v>1191</v>
      </c>
      <c r="C1124" s="490" t="s">
        <v>1221</v>
      </c>
      <c r="D1124" s="483">
        <v>8100</v>
      </c>
      <c r="E1124" s="484">
        <v>108288</v>
      </c>
      <c r="F1124" s="526" t="s">
        <v>92</v>
      </c>
      <c r="G1124" s="488" t="s">
        <v>910</v>
      </c>
      <c r="H1124" s="491">
        <v>1</v>
      </c>
      <c r="I1124" s="473">
        <f>INT(L1124*$Q$139)</f>
        <v>0</v>
      </c>
      <c r="J1124" s="473">
        <f>INT(M1124*$R$139)</f>
        <v>2500</v>
      </c>
      <c r="K1124" s="473">
        <f>SUM(I1124:J1124)</f>
        <v>2500</v>
      </c>
      <c r="L1124" s="167"/>
      <c r="M1124" s="167">
        <v>2500</v>
      </c>
      <c r="N1124" s="167">
        <f t="shared" si="199"/>
        <v>2500</v>
      </c>
      <c r="O1124" s="640">
        <f t="shared" si="193"/>
        <v>1000</v>
      </c>
      <c r="P1124" s="405"/>
      <c r="Q1124" s="635">
        <f t="shared" si="194"/>
        <v>1000</v>
      </c>
    </row>
    <row r="1125" spans="1:20" s="510" customFormat="1" ht="72" hidden="1" customHeight="1">
      <c r="A1125" s="501"/>
      <c r="B1125" s="502"/>
      <c r="C1125" s="503" t="s">
        <v>141</v>
      </c>
      <c r="D1125" s="504"/>
      <c r="E1125" s="505"/>
      <c r="F1125" s="504"/>
      <c r="G1125" s="504"/>
      <c r="H1125" s="504"/>
      <c r="I1125" s="506">
        <f>SUM(I1126)</f>
        <v>301288</v>
      </c>
      <c r="J1125" s="506"/>
      <c r="K1125" s="506">
        <f>I1125+J1125</f>
        <v>301288</v>
      </c>
      <c r="L1125" s="507">
        <f>SUM(L1126)</f>
        <v>301288</v>
      </c>
      <c r="M1125" s="507"/>
      <c r="N1125" s="507">
        <f>L1125+M1125</f>
        <v>301288</v>
      </c>
      <c r="O1125" s="640">
        <f t="shared" si="193"/>
        <v>0</v>
      </c>
      <c r="P1125" s="508"/>
      <c r="Q1125" s="635">
        <f t="shared" si="194"/>
        <v>0</v>
      </c>
      <c r="R1125" s="508"/>
      <c r="S1125" s="508"/>
      <c r="T1125" s="509"/>
    </row>
    <row r="1126" spans="1:20" ht="54.75" hidden="1" customHeight="1">
      <c r="A1126" s="273" t="s">
        <v>614</v>
      </c>
      <c r="B1126" s="481" t="s">
        <v>1173</v>
      </c>
      <c r="C1126" s="490" t="s">
        <v>317</v>
      </c>
      <c r="D1126" s="483">
        <v>8100</v>
      </c>
      <c r="E1126" s="484">
        <v>108288</v>
      </c>
      <c r="F1126" s="526" t="s">
        <v>92</v>
      </c>
      <c r="G1126" s="488" t="s">
        <v>143</v>
      </c>
      <c r="H1126" s="489">
        <v>3019</v>
      </c>
      <c r="I1126" s="473">
        <f>INT(L1126*$Q$139)</f>
        <v>301288</v>
      </c>
      <c r="J1126" s="473">
        <f>INT(M1126*$R$139)</f>
        <v>0</v>
      </c>
      <c r="K1126" s="473">
        <f>SUM(I1126:J1126)</f>
        <v>301288</v>
      </c>
      <c r="L1126" s="167">
        <v>301288</v>
      </c>
      <c r="M1126" s="167"/>
      <c r="N1126" s="167">
        <f t="shared" si="199"/>
        <v>301288</v>
      </c>
      <c r="O1126" s="640">
        <f t="shared" si="193"/>
        <v>0</v>
      </c>
      <c r="P1126" s="405"/>
      <c r="Q1126" s="635">
        <f t="shared" si="194"/>
        <v>0</v>
      </c>
    </row>
    <row r="1127" spans="1:20" s="510" customFormat="1" ht="72" hidden="1" customHeight="1">
      <c r="A1127" s="501"/>
      <c r="B1127" s="502"/>
      <c r="C1127" s="503" t="s">
        <v>310</v>
      </c>
      <c r="D1127" s="504"/>
      <c r="E1127" s="505"/>
      <c r="F1127" s="504"/>
      <c r="G1127" s="504"/>
      <c r="H1127" s="504"/>
      <c r="I1127" s="506">
        <f>SUM(I1128:I1129)</f>
        <v>27000</v>
      </c>
      <c r="J1127" s="506">
        <f>SUM(J1128:J1129)</f>
        <v>32904</v>
      </c>
      <c r="K1127" s="506">
        <f>I1127+J1127</f>
        <v>59904</v>
      </c>
      <c r="L1127" s="507">
        <f>SUM(L1128:L1129)</f>
        <v>27000</v>
      </c>
      <c r="M1127" s="507">
        <f>SUM(M1128:M1129)</f>
        <v>32904</v>
      </c>
      <c r="N1127" s="507">
        <f>L1127+M1127</f>
        <v>59904</v>
      </c>
      <c r="O1127" s="640">
        <f t="shared" si="193"/>
        <v>13161.6</v>
      </c>
      <c r="P1127" s="508"/>
      <c r="Q1127" s="635">
        <f t="shared" si="194"/>
        <v>13161.6</v>
      </c>
      <c r="R1127" s="508"/>
      <c r="S1127" s="508"/>
      <c r="T1127" s="509"/>
    </row>
    <row r="1128" spans="1:20" ht="54.75" customHeight="1">
      <c r="A1128" s="273" t="s">
        <v>616</v>
      </c>
      <c r="B1128" s="481" t="s">
        <v>1027</v>
      </c>
      <c r="C1128" s="490" t="s">
        <v>681</v>
      </c>
      <c r="D1128" s="483">
        <v>8100</v>
      </c>
      <c r="E1128" s="484">
        <v>108288</v>
      </c>
      <c r="F1128" s="526" t="s">
        <v>92</v>
      </c>
      <c r="G1128" s="488" t="s">
        <v>725</v>
      </c>
      <c r="H1128" s="489">
        <v>1</v>
      </c>
      <c r="I1128" s="473">
        <f>INT(L1128*$Q$139)</f>
        <v>27000</v>
      </c>
      <c r="J1128" s="473">
        <f>INT(M1128*$R$139)</f>
        <v>32904</v>
      </c>
      <c r="K1128" s="473">
        <f>SUM(I1128:J1128)</f>
        <v>59904</v>
      </c>
      <c r="L1128" s="167">
        <v>27000</v>
      </c>
      <c r="M1128" s="167">
        <v>32904</v>
      </c>
      <c r="N1128" s="167">
        <f t="shared" si="199"/>
        <v>59904</v>
      </c>
      <c r="O1128" s="640">
        <f t="shared" ref="O1128:O1191" si="200">(J1128/100)*40</f>
        <v>13161.6</v>
      </c>
      <c r="P1128" s="405"/>
      <c r="Q1128" s="635">
        <f t="shared" ref="Q1128:Q1191" si="201">($Q$932*J1128)/100</f>
        <v>13161.6</v>
      </c>
    </row>
    <row r="1129" spans="1:20" ht="54.75" hidden="1" customHeight="1">
      <c r="A1129" s="273"/>
      <c r="B1129" s="481" t="s">
        <v>1186</v>
      </c>
      <c r="C1129" s="490" t="s">
        <v>1074</v>
      </c>
      <c r="D1129" s="483">
        <v>112</v>
      </c>
      <c r="E1129" s="484">
        <v>108288</v>
      </c>
      <c r="F1129" s="526" t="s">
        <v>92</v>
      </c>
      <c r="G1129" s="488" t="s">
        <v>1075</v>
      </c>
      <c r="H1129" s="489"/>
      <c r="I1129" s="473">
        <f>INT(L1129*$Q$139)</f>
        <v>0</v>
      </c>
      <c r="J1129" s="473">
        <f>INT(M1129*$R$139)</f>
        <v>0</v>
      </c>
      <c r="K1129" s="473">
        <f>SUM(I1129:J1129)</f>
        <v>0</v>
      </c>
      <c r="L1129" s="167"/>
      <c r="M1129" s="167"/>
      <c r="N1129" s="167">
        <f t="shared" si="199"/>
        <v>0</v>
      </c>
      <c r="O1129" s="640">
        <f t="shared" si="200"/>
        <v>0</v>
      </c>
      <c r="P1129" s="405"/>
      <c r="Q1129" s="635">
        <f t="shared" si="201"/>
        <v>0</v>
      </c>
    </row>
    <row r="1130" spans="1:20" s="510" customFormat="1" ht="72" hidden="1" customHeight="1">
      <c r="A1130" s="501"/>
      <c r="B1130" s="502"/>
      <c r="C1130" s="503" t="s">
        <v>278</v>
      </c>
      <c r="D1130" s="504"/>
      <c r="E1130" s="505"/>
      <c r="F1130" s="504"/>
      <c r="G1130" s="504"/>
      <c r="H1130" s="504"/>
      <c r="I1130" s="506">
        <f>SUM(I1131)</f>
        <v>5000</v>
      </c>
      <c r="J1130" s="506">
        <f>SUM(J1131)</f>
        <v>0</v>
      </c>
      <c r="K1130" s="506">
        <f>I1130+J1130</f>
        <v>5000</v>
      </c>
      <c r="L1130" s="507">
        <f>SUM(L1131)</f>
        <v>5000</v>
      </c>
      <c r="M1130" s="507">
        <f>SUM(M1131)</f>
        <v>0</v>
      </c>
      <c r="N1130" s="507">
        <f>L1130+M1130</f>
        <v>5000</v>
      </c>
      <c r="O1130" s="640">
        <f t="shared" si="200"/>
        <v>0</v>
      </c>
      <c r="P1130" s="508"/>
      <c r="Q1130" s="635">
        <f t="shared" si="201"/>
        <v>0</v>
      </c>
      <c r="R1130" s="508"/>
      <c r="S1130" s="508"/>
      <c r="T1130" s="509"/>
    </row>
    <row r="1131" spans="1:20" ht="54.75" hidden="1" customHeight="1">
      <c r="A1131" s="273" t="s">
        <v>653</v>
      </c>
      <c r="B1131" s="481" t="s">
        <v>1031</v>
      </c>
      <c r="C1131" s="490" t="s">
        <v>319</v>
      </c>
      <c r="D1131" s="483">
        <v>8100</v>
      </c>
      <c r="E1131" s="484" t="s">
        <v>686</v>
      </c>
      <c r="F1131" s="526" t="s">
        <v>92</v>
      </c>
      <c r="G1131" s="488" t="s">
        <v>18</v>
      </c>
      <c r="H1131" s="489">
        <v>50</v>
      </c>
      <c r="I1131" s="473">
        <f>INT(L1131*$Q$139)</f>
        <v>5000</v>
      </c>
      <c r="J1131" s="473">
        <f>INT(M1131*$R$139)</f>
        <v>0</v>
      </c>
      <c r="K1131" s="473">
        <f>SUM(I1131:J1131)</f>
        <v>5000</v>
      </c>
      <c r="L1131" s="167">
        <v>5000</v>
      </c>
      <c r="M1131" s="167"/>
      <c r="N1131" s="167">
        <f>SUM(L1131,M1131)</f>
        <v>5000</v>
      </c>
      <c r="O1131" s="640">
        <f t="shared" si="200"/>
        <v>0</v>
      </c>
      <c r="P1131" s="405"/>
      <c r="Q1131" s="635">
        <f t="shared" si="201"/>
        <v>0</v>
      </c>
    </row>
    <row r="1132" spans="1:20" ht="41.25" hidden="1" customHeight="1">
      <c r="A1132" s="149"/>
      <c r="B1132" s="149"/>
      <c r="C1132" s="143" t="s">
        <v>274</v>
      </c>
      <c r="D1132" s="144"/>
      <c r="E1132" s="144"/>
      <c r="F1132" s="137"/>
      <c r="G1132" s="143"/>
      <c r="H1132" s="135"/>
      <c r="I1132" s="391">
        <f t="shared" ref="I1132:N1132" si="202">SUM(I1133:I1135)</f>
        <v>0</v>
      </c>
      <c r="J1132" s="391">
        <f t="shared" si="202"/>
        <v>0</v>
      </c>
      <c r="K1132" s="391">
        <f t="shared" si="202"/>
        <v>0</v>
      </c>
      <c r="L1132" s="391">
        <f t="shared" si="202"/>
        <v>0</v>
      </c>
      <c r="M1132" s="391">
        <f t="shared" si="202"/>
        <v>0</v>
      </c>
      <c r="N1132" s="391">
        <f t="shared" si="202"/>
        <v>0</v>
      </c>
      <c r="O1132" s="640">
        <f t="shared" si="200"/>
        <v>0</v>
      </c>
      <c r="Q1132" s="635">
        <f t="shared" si="201"/>
        <v>0</v>
      </c>
    </row>
    <row r="1133" spans="1:20" ht="48.75" hidden="1" customHeight="1">
      <c r="A1133" s="273" t="s">
        <v>835</v>
      </c>
      <c r="B1133" s="273" t="s">
        <v>835</v>
      </c>
      <c r="C1133" s="183" t="s">
        <v>681</v>
      </c>
      <c r="D1133" s="228">
        <v>112</v>
      </c>
      <c r="E1133" s="229" t="s">
        <v>795</v>
      </c>
      <c r="F1133" s="230" t="s">
        <v>92</v>
      </c>
      <c r="G1133" s="237" t="s">
        <v>725</v>
      </c>
      <c r="H1133" s="251">
        <v>1</v>
      </c>
      <c r="I1133" s="388">
        <f>INT(L1133*$Q$139)</f>
        <v>0</v>
      </c>
      <c r="J1133" s="388">
        <f>INT(M1133*$R$139)</f>
        <v>0</v>
      </c>
      <c r="K1133" s="388">
        <f>SUM(I1133:J1133)</f>
        <v>0</v>
      </c>
      <c r="L1133" s="167"/>
      <c r="M1133" s="168"/>
      <c r="N1133" s="167">
        <f>SUM(L1133,M1133)</f>
        <v>0</v>
      </c>
      <c r="O1133" s="640">
        <f t="shared" si="200"/>
        <v>0</v>
      </c>
      <c r="Q1133" s="635">
        <f t="shared" si="201"/>
        <v>0</v>
      </c>
    </row>
    <row r="1134" spans="1:20" ht="48.75" hidden="1" customHeight="1">
      <c r="A1134" s="273" t="s">
        <v>837</v>
      </c>
      <c r="B1134" s="273" t="s">
        <v>837</v>
      </c>
      <c r="C1134" s="241" t="s">
        <v>316</v>
      </c>
      <c r="D1134" s="228">
        <v>112</v>
      </c>
      <c r="E1134" s="229" t="s">
        <v>795</v>
      </c>
      <c r="F1134" s="230" t="s">
        <v>92</v>
      </c>
      <c r="G1134" s="242" t="s">
        <v>315</v>
      </c>
      <c r="H1134" s="251">
        <v>1</v>
      </c>
      <c r="I1134" s="388">
        <f>INT(L1134*$Q$139)</f>
        <v>0</v>
      </c>
      <c r="J1134" s="388">
        <f>INT(M1134*$R$139)</f>
        <v>0</v>
      </c>
      <c r="K1134" s="388">
        <f>SUM(I1134:J1134)</f>
        <v>0</v>
      </c>
      <c r="L1134" s="167"/>
      <c r="M1134" s="167"/>
      <c r="N1134" s="167">
        <f>SUM(L1134,M1134)</f>
        <v>0</v>
      </c>
      <c r="O1134" s="640">
        <f t="shared" si="200"/>
        <v>0</v>
      </c>
      <c r="Q1134" s="635">
        <f t="shared" si="201"/>
        <v>0</v>
      </c>
    </row>
    <row r="1135" spans="1:20" ht="48.75" hidden="1" customHeight="1">
      <c r="A1135" s="273" t="s">
        <v>839</v>
      </c>
      <c r="B1135" s="273" t="s">
        <v>839</v>
      </c>
      <c r="C1135" s="183" t="s">
        <v>408</v>
      </c>
      <c r="D1135" s="228">
        <v>112</v>
      </c>
      <c r="E1135" s="229" t="s">
        <v>795</v>
      </c>
      <c r="F1135" s="230" t="s">
        <v>92</v>
      </c>
      <c r="G1135" s="248" t="s">
        <v>159</v>
      </c>
      <c r="H1135" s="231">
        <v>1</v>
      </c>
      <c r="I1135" s="388">
        <f>INT(L1135*$Q$139)</f>
        <v>0</v>
      </c>
      <c r="J1135" s="388">
        <f>INT(M1135*$R$139)</f>
        <v>0</v>
      </c>
      <c r="K1135" s="388">
        <f>SUM(I1135:J1135)</f>
        <v>0</v>
      </c>
      <c r="L1135" s="167"/>
      <c r="M1135" s="167"/>
      <c r="N1135" s="167">
        <f>SUM(L1135,M1135)</f>
        <v>0</v>
      </c>
      <c r="O1135" s="640">
        <f t="shared" si="200"/>
        <v>0</v>
      </c>
      <c r="Q1135" s="635">
        <f t="shared" si="201"/>
        <v>0</v>
      </c>
    </row>
    <row r="1136" spans="1:20" s="510" customFormat="1" ht="72" hidden="1" customHeight="1">
      <c r="A1136" s="501"/>
      <c r="B1136" s="502"/>
      <c r="C1136" s="503" t="s">
        <v>312</v>
      </c>
      <c r="D1136" s="504"/>
      <c r="E1136" s="505"/>
      <c r="F1136" s="504"/>
      <c r="G1136" s="504"/>
      <c r="H1136" s="504"/>
      <c r="I1136" s="506">
        <f>SUM(I1137,I1138)</f>
        <v>7900</v>
      </c>
      <c r="J1136" s="506">
        <f>SUM(J1137,J1138)</f>
        <v>27248</v>
      </c>
      <c r="K1136" s="506">
        <f>I1136+J1136</f>
        <v>35148</v>
      </c>
      <c r="L1136" s="507">
        <f>SUM(L1137,L1138)</f>
        <v>7900</v>
      </c>
      <c r="M1136" s="507">
        <f>SUM(M1137,M1138)</f>
        <v>27248</v>
      </c>
      <c r="N1136" s="507">
        <f>L1136+M1136</f>
        <v>35148</v>
      </c>
      <c r="O1136" s="640">
        <f t="shared" si="200"/>
        <v>10899.2</v>
      </c>
      <c r="P1136" s="508"/>
      <c r="Q1136" s="635">
        <f t="shared" si="201"/>
        <v>10899.2</v>
      </c>
      <c r="R1136" s="508"/>
      <c r="S1136" s="508"/>
      <c r="T1136" s="509"/>
    </row>
    <row r="1137" spans="1:20" ht="54.75" customHeight="1">
      <c r="A1137" s="273" t="s">
        <v>631</v>
      </c>
      <c r="B1137" s="481" t="s">
        <v>1030</v>
      </c>
      <c r="C1137" s="490" t="s">
        <v>316</v>
      </c>
      <c r="D1137" s="483">
        <v>8100</v>
      </c>
      <c r="E1137" s="484">
        <v>108288</v>
      </c>
      <c r="F1137" s="526" t="s">
        <v>92</v>
      </c>
      <c r="G1137" s="488" t="s">
        <v>315</v>
      </c>
      <c r="H1137" s="489">
        <v>1</v>
      </c>
      <c r="I1137" s="473">
        <f>INT(L1137*$Q$139)</f>
        <v>7900</v>
      </c>
      <c r="J1137" s="473">
        <f>INT(M1137*$R$139)</f>
        <v>27248</v>
      </c>
      <c r="K1137" s="473">
        <f>SUM(I1137:J1137)</f>
        <v>35148</v>
      </c>
      <c r="L1137" s="167">
        <v>7900</v>
      </c>
      <c r="M1137" s="167">
        <v>27248</v>
      </c>
      <c r="N1137" s="167">
        <f>SUM(L1137,M1137)</f>
        <v>35148</v>
      </c>
      <c r="O1137" s="640">
        <f t="shared" si="200"/>
        <v>10899.2</v>
      </c>
      <c r="P1137" s="405"/>
      <c r="Q1137" s="635">
        <f t="shared" si="201"/>
        <v>10899.2</v>
      </c>
    </row>
    <row r="1138" spans="1:20" ht="54.75" hidden="1" customHeight="1">
      <c r="A1138" s="273" t="s">
        <v>631</v>
      </c>
      <c r="B1138" s="481" t="s">
        <v>1188</v>
      </c>
      <c r="C1138" s="490" t="s">
        <v>1187</v>
      </c>
      <c r="D1138" s="483">
        <v>112</v>
      </c>
      <c r="E1138" s="484">
        <v>108288</v>
      </c>
      <c r="F1138" s="526" t="s">
        <v>92</v>
      </c>
      <c r="G1138" s="488" t="s">
        <v>1075</v>
      </c>
      <c r="H1138" s="489"/>
      <c r="I1138" s="473">
        <f>INT(L1138*$Q$139)</f>
        <v>0</v>
      </c>
      <c r="J1138" s="473">
        <f>INT(M1138*$R$139)</f>
        <v>0</v>
      </c>
      <c r="K1138" s="473">
        <f>SUM(I1138:J1138)</f>
        <v>0</v>
      </c>
      <c r="L1138" s="167"/>
      <c r="M1138" s="167"/>
      <c r="N1138" s="167">
        <f>SUM(L1138,M1138)</f>
        <v>0</v>
      </c>
      <c r="O1138" s="640">
        <f t="shared" si="200"/>
        <v>0</v>
      </c>
      <c r="P1138" s="405"/>
      <c r="Q1138" s="635">
        <f t="shared" si="201"/>
        <v>0</v>
      </c>
    </row>
    <row r="1139" spans="1:20" ht="75" hidden="1" customHeight="1">
      <c r="A1139" s="614"/>
      <c r="B1139" s="1287" t="s">
        <v>1276</v>
      </c>
      <c r="C1139" s="1287"/>
      <c r="D1139" s="1287"/>
      <c r="E1139" s="1287"/>
      <c r="F1139" s="1287"/>
      <c r="G1139" s="1287"/>
      <c r="H1139" s="1287"/>
      <c r="I1139" s="1287"/>
      <c r="J1139" s="1287"/>
      <c r="K1139" s="1287"/>
      <c r="L1139" s="614"/>
      <c r="M1139" s="614"/>
      <c r="N1139" s="614"/>
      <c r="O1139" s="640">
        <f t="shared" si="200"/>
        <v>0</v>
      </c>
      <c r="Q1139" s="635">
        <f t="shared" si="201"/>
        <v>0</v>
      </c>
    </row>
    <row r="1140" spans="1:20" ht="21.95" hidden="1" customHeight="1" thickBot="1">
      <c r="A1140" s="614"/>
      <c r="B1140" s="614"/>
      <c r="C1140" s="614"/>
      <c r="D1140" s="614"/>
      <c r="E1140" s="614"/>
      <c r="F1140" s="614"/>
      <c r="G1140" s="97"/>
      <c r="H1140" s="97"/>
      <c r="I1140" s="97"/>
      <c r="J1140" s="97"/>
      <c r="K1140" s="97"/>
      <c r="L1140" s="614"/>
      <c r="M1140" s="614"/>
      <c r="N1140" s="614"/>
      <c r="O1140" s="640">
        <f t="shared" si="200"/>
        <v>0</v>
      </c>
      <c r="Q1140" s="635">
        <f t="shared" si="201"/>
        <v>0</v>
      </c>
    </row>
    <row r="1141" spans="1:20" ht="29.25" hidden="1" customHeight="1">
      <c r="C1141" s="1204" t="s">
        <v>51</v>
      </c>
      <c r="D1141" s="1204"/>
      <c r="E1141" s="1204"/>
      <c r="F1141" s="1204"/>
      <c r="H1141" s="1243" t="s">
        <v>11</v>
      </c>
      <c r="I1141" s="1244"/>
      <c r="J1141" s="1244"/>
      <c r="K1141" s="1245"/>
      <c r="L1141" s="337"/>
      <c r="M1141" s="337"/>
      <c r="N1141" s="337"/>
      <c r="O1141" s="640">
        <f t="shared" si="200"/>
        <v>0</v>
      </c>
      <c r="Q1141" s="635">
        <f t="shared" si="201"/>
        <v>0</v>
      </c>
    </row>
    <row r="1142" spans="1:20" ht="29.25" hidden="1" customHeight="1">
      <c r="C1142" s="1204" t="s">
        <v>52</v>
      </c>
      <c r="D1142" s="1204"/>
      <c r="E1142" s="1204"/>
      <c r="F1142" s="1204"/>
      <c r="G1142" s="44"/>
      <c r="H1142" s="1208" t="s">
        <v>21</v>
      </c>
      <c r="I1142" s="1209"/>
      <c r="J1142" s="1209"/>
      <c r="K1142" s="1210"/>
      <c r="L1142" s="336"/>
      <c r="M1142" s="336"/>
      <c r="N1142" s="336"/>
      <c r="O1142" s="640">
        <f t="shared" si="200"/>
        <v>0</v>
      </c>
      <c r="Q1142" s="635">
        <f t="shared" si="201"/>
        <v>0</v>
      </c>
    </row>
    <row r="1143" spans="1:20" ht="29.25" hidden="1" customHeight="1">
      <c r="C1143" s="1204" t="s">
        <v>50</v>
      </c>
      <c r="D1143" s="1204"/>
      <c r="E1143" s="1204"/>
      <c r="F1143" s="1204"/>
      <c r="G1143" s="44"/>
      <c r="H1143" s="1211"/>
      <c r="I1143" s="1212"/>
      <c r="J1143" s="1212"/>
      <c r="K1143" s="1213"/>
      <c r="L1143" s="336"/>
      <c r="M1143" s="336"/>
      <c r="N1143" s="336"/>
      <c r="O1143" s="640">
        <f t="shared" si="200"/>
        <v>0</v>
      </c>
      <c r="Q1143" s="635">
        <f t="shared" si="201"/>
        <v>0</v>
      </c>
    </row>
    <row r="1144" spans="1:20" ht="39.950000000000003" hidden="1" customHeight="1">
      <c r="C1144" s="1252"/>
      <c r="D1144" s="1252"/>
      <c r="E1144" s="1252"/>
      <c r="F1144" s="1252"/>
      <c r="G1144" s="44"/>
      <c r="H1144" s="1211" t="s">
        <v>22</v>
      </c>
      <c r="I1144" s="1212"/>
      <c r="J1144" s="1212"/>
      <c r="K1144" s="477">
        <f>K1212</f>
        <v>14317270</v>
      </c>
      <c r="L1144" s="336"/>
      <c r="M1144" s="336"/>
      <c r="N1144" s="86"/>
      <c r="O1144" s="640">
        <f t="shared" si="200"/>
        <v>0</v>
      </c>
      <c r="Q1144" s="635">
        <f t="shared" si="201"/>
        <v>0</v>
      </c>
    </row>
    <row r="1145" spans="1:20" ht="45" hidden="1" customHeight="1" thickBot="1">
      <c r="A1145" s="75"/>
      <c r="B1145" s="75"/>
      <c r="C1145" s="65"/>
      <c r="D1145" s="608"/>
      <c r="E1145" s="100"/>
      <c r="F1145" s="10"/>
      <c r="G1145" s="10"/>
      <c r="H1145" s="1283" t="s">
        <v>13</v>
      </c>
      <c r="I1145" s="1284"/>
      <c r="J1145" s="1284"/>
      <c r="K1145" s="1285"/>
      <c r="L1145" s="336"/>
      <c r="M1145" s="336"/>
      <c r="N1145" s="336"/>
      <c r="O1145" s="640">
        <f t="shared" si="200"/>
        <v>0</v>
      </c>
      <c r="Q1145" s="635">
        <f t="shared" si="201"/>
        <v>0</v>
      </c>
    </row>
    <row r="1146" spans="1:20" ht="30" hidden="1" customHeight="1">
      <c r="A1146" s="614"/>
      <c r="B1146" s="614"/>
      <c r="C1146" s="614"/>
      <c r="D1146" s="608"/>
      <c r="E1146" s="100"/>
      <c r="F1146" s="614"/>
      <c r="G1146" s="97"/>
      <c r="H1146" s="97"/>
      <c r="I1146" s="97"/>
      <c r="J1146" s="97"/>
      <c r="K1146" s="97"/>
      <c r="L1146" s="614"/>
      <c r="M1146" s="614"/>
      <c r="N1146" s="614"/>
      <c r="O1146" s="640">
        <f t="shared" si="200"/>
        <v>0</v>
      </c>
      <c r="Q1146" s="635">
        <f t="shared" si="201"/>
        <v>0</v>
      </c>
    </row>
    <row r="1147" spans="1:20" ht="39.950000000000003" hidden="1" customHeight="1">
      <c r="A1147" s="346"/>
      <c r="B1147" s="1226" t="s">
        <v>1037</v>
      </c>
      <c r="C1147" s="1226"/>
      <c r="D1147" s="1226"/>
      <c r="E1147" s="1226"/>
      <c r="F1147" s="1226"/>
      <c r="G1147" s="1226"/>
      <c r="H1147" s="1226"/>
      <c r="I1147" s="1226"/>
      <c r="J1147" s="1226"/>
      <c r="K1147" s="1226"/>
      <c r="L1147" s="346"/>
      <c r="M1147" s="346"/>
      <c r="N1147" s="346"/>
      <c r="O1147" s="640">
        <f t="shared" si="200"/>
        <v>0</v>
      </c>
      <c r="P1147" s="27"/>
      <c r="Q1147" s="635">
        <f t="shared" si="201"/>
        <v>0</v>
      </c>
      <c r="R1147" s="27"/>
      <c r="S1147" s="27"/>
      <c r="T1147" s="27"/>
    </row>
    <row r="1148" spans="1:20" ht="25.5" hidden="1" customHeight="1">
      <c r="A1148" s="46"/>
      <c r="B1148" s="46"/>
      <c r="C1148" s="46"/>
      <c r="D1148" s="46"/>
      <c r="E1148" s="46"/>
      <c r="F1148" s="46"/>
      <c r="G1148" s="46"/>
      <c r="H1148" s="46"/>
      <c r="I1148" s="46"/>
      <c r="J1148" s="46"/>
      <c r="K1148" s="46"/>
      <c r="L1148" s="46"/>
      <c r="M1148" s="46"/>
      <c r="N1148" s="46"/>
      <c r="O1148" s="640">
        <f t="shared" si="200"/>
        <v>0</v>
      </c>
      <c r="Q1148" s="635">
        <f t="shared" si="201"/>
        <v>0</v>
      </c>
    </row>
    <row r="1149" spans="1:20" s="500" customFormat="1" ht="90" hidden="1">
      <c r="A1149" s="496" t="s">
        <v>14</v>
      </c>
      <c r="B1149" s="497" t="s">
        <v>14</v>
      </c>
      <c r="C1149" s="497" t="s">
        <v>37</v>
      </c>
      <c r="D1149" s="497" t="s">
        <v>440</v>
      </c>
      <c r="E1149" s="497" t="s">
        <v>16</v>
      </c>
      <c r="F1149" s="497" t="s">
        <v>185</v>
      </c>
      <c r="G1149" s="497" t="s">
        <v>178</v>
      </c>
      <c r="H1149" s="497" t="s">
        <v>179</v>
      </c>
      <c r="I1149" s="497" t="s">
        <v>180</v>
      </c>
      <c r="J1149" s="497" t="s">
        <v>1275</v>
      </c>
      <c r="K1149" s="497" t="s">
        <v>200</v>
      </c>
      <c r="L1149" s="496" t="s">
        <v>180</v>
      </c>
      <c r="M1149" s="496" t="s">
        <v>181</v>
      </c>
      <c r="N1149" s="496" t="s">
        <v>200</v>
      </c>
      <c r="O1149" s="640" t="e">
        <f t="shared" si="200"/>
        <v>#VALUE!</v>
      </c>
      <c r="P1149" s="498"/>
      <c r="Q1149" s="635" t="e">
        <f t="shared" si="201"/>
        <v>#VALUE!</v>
      </c>
      <c r="R1149" s="498"/>
      <c r="S1149" s="498"/>
      <c r="T1149" s="499"/>
    </row>
    <row r="1150" spans="1:20" s="579" customFormat="1" ht="46.5" customHeight="1">
      <c r="A1150" s="572"/>
      <c r="B1150" s="572"/>
      <c r="C1150" s="573" t="s">
        <v>85</v>
      </c>
      <c r="D1150" s="574"/>
      <c r="E1150" s="574"/>
      <c r="F1150" s="575" t="s">
        <v>117</v>
      </c>
      <c r="G1150" s="576"/>
      <c r="H1150" s="576"/>
      <c r="I1150" s="577">
        <f>SUM(I1151,I1153,I1155,I1158,I1160,I1163)</f>
        <v>764928</v>
      </c>
      <c r="J1150" s="577">
        <f>SUM(J1151,J1153,J1155,J1158,J1160,J1163)</f>
        <v>57489</v>
      </c>
      <c r="K1150" s="577">
        <f>I1150+J1150</f>
        <v>822417</v>
      </c>
      <c r="L1150" s="578">
        <f>SUM(L1151,L1153,L1155,L1158,L1160,L1163)</f>
        <v>764928</v>
      </c>
      <c r="M1150" s="578">
        <f>SUM(M1151,M1153,M1155,M1158,M1160,M1163)</f>
        <v>57489</v>
      </c>
      <c r="N1150" s="578">
        <f>L1150+M1150</f>
        <v>822417</v>
      </c>
      <c r="O1150" s="644">
        <f t="shared" si="200"/>
        <v>22995.599999999999</v>
      </c>
      <c r="Q1150" s="635">
        <f t="shared" si="201"/>
        <v>22995.599999999999</v>
      </c>
    </row>
    <row r="1151" spans="1:20" s="510" customFormat="1" ht="72" hidden="1" customHeight="1">
      <c r="A1151" s="501"/>
      <c r="B1151" s="502"/>
      <c r="C1151" s="503" t="s">
        <v>292</v>
      </c>
      <c r="D1151" s="504"/>
      <c r="E1151" s="505"/>
      <c r="F1151" s="504"/>
      <c r="G1151" s="504"/>
      <c r="H1151" s="504"/>
      <c r="I1151" s="506">
        <f>SUM(I1152)</f>
        <v>65081</v>
      </c>
      <c r="J1151" s="506"/>
      <c r="K1151" s="506">
        <f>I1151+J1151</f>
        <v>65081</v>
      </c>
      <c r="L1151" s="507">
        <f>SUM(L1152)</f>
        <v>65081</v>
      </c>
      <c r="M1151" s="507"/>
      <c r="N1151" s="507">
        <f>L1151+M1151</f>
        <v>65081</v>
      </c>
      <c r="O1151" s="640">
        <f t="shared" si="200"/>
        <v>0</v>
      </c>
      <c r="P1151" s="508"/>
      <c r="Q1151" s="635">
        <f t="shared" si="201"/>
        <v>0</v>
      </c>
      <c r="R1151" s="508"/>
      <c r="S1151" s="508"/>
      <c r="T1151" s="509"/>
    </row>
    <row r="1152" spans="1:20" ht="54.75" hidden="1" customHeight="1">
      <c r="A1152" s="273" t="s">
        <v>668</v>
      </c>
      <c r="B1152" s="481" t="s">
        <v>1172</v>
      </c>
      <c r="C1152" s="490" t="s">
        <v>246</v>
      </c>
      <c r="D1152" s="483">
        <v>8100</v>
      </c>
      <c r="E1152" s="484">
        <v>108288</v>
      </c>
      <c r="F1152" s="526" t="s">
        <v>86</v>
      </c>
      <c r="G1152" s="488" t="s">
        <v>147</v>
      </c>
      <c r="H1152" s="489">
        <v>1</v>
      </c>
      <c r="I1152" s="473">
        <f>INT(L1152*$Q$139)</f>
        <v>65081</v>
      </c>
      <c r="J1152" s="473">
        <f>INT(M1152*$R$139)</f>
        <v>0</v>
      </c>
      <c r="K1152" s="473">
        <f>SUM(I1152:J1152)</f>
        <v>65081</v>
      </c>
      <c r="L1152" s="167">
        <v>65081</v>
      </c>
      <c r="M1152" s="167"/>
      <c r="N1152" s="167">
        <f>SUM(L1152,M1152)</f>
        <v>65081</v>
      </c>
      <c r="O1152" s="640">
        <f t="shared" si="200"/>
        <v>0</v>
      </c>
      <c r="P1152" s="405"/>
      <c r="Q1152" s="635">
        <f t="shared" si="201"/>
        <v>0</v>
      </c>
    </row>
    <row r="1153" spans="1:20" s="510" customFormat="1" ht="72" hidden="1" customHeight="1">
      <c r="A1153" s="501"/>
      <c r="B1153" s="502"/>
      <c r="C1153" s="503" t="s">
        <v>141</v>
      </c>
      <c r="D1153" s="504"/>
      <c r="E1153" s="505"/>
      <c r="F1153" s="504"/>
      <c r="G1153" s="504"/>
      <c r="H1153" s="504"/>
      <c r="I1153" s="506">
        <f>SUM(I1154)</f>
        <v>587530</v>
      </c>
      <c r="J1153" s="506"/>
      <c r="K1153" s="506">
        <f>I1153+J1153</f>
        <v>587530</v>
      </c>
      <c r="L1153" s="507">
        <f>SUM(L1154)</f>
        <v>587530</v>
      </c>
      <c r="M1153" s="507"/>
      <c r="N1153" s="507">
        <f>L1153+M1153</f>
        <v>587530</v>
      </c>
      <c r="O1153" s="640">
        <f t="shared" si="200"/>
        <v>0</v>
      </c>
      <c r="P1153" s="508"/>
      <c r="Q1153" s="635">
        <f t="shared" si="201"/>
        <v>0</v>
      </c>
      <c r="R1153" s="508"/>
      <c r="S1153" s="508"/>
      <c r="T1153" s="509"/>
    </row>
    <row r="1154" spans="1:20" ht="54.75" hidden="1" customHeight="1">
      <c r="A1154" s="273" t="s">
        <v>614</v>
      </c>
      <c r="B1154" s="481" t="s">
        <v>1173</v>
      </c>
      <c r="C1154" s="490" t="s">
        <v>317</v>
      </c>
      <c r="D1154" s="483">
        <v>8100</v>
      </c>
      <c r="E1154" s="484">
        <v>108288</v>
      </c>
      <c r="F1154" s="526" t="s">
        <v>86</v>
      </c>
      <c r="G1154" s="488" t="s">
        <v>143</v>
      </c>
      <c r="H1154" s="489">
        <v>3560</v>
      </c>
      <c r="I1154" s="473">
        <f>INT(L1154*$Q$139)</f>
        <v>587530</v>
      </c>
      <c r="J1154" s="473">
        <f>INT(M1154*$R$139)</f>
        <v>0</v>
      </c>
      <c r="K1154" s="473">
        <f>SUM(I1154:J1154)</f>
        <v>587530</v>
      </c>
      <c r="L1154" s="167">
        <v>587530</v>
      </c>
      <c r="M1154" s="167"/>
      <c r="N1154" s="167">
        <f>SUM(L1154,M1154)</f>
        <v>587530</v>
      </c>
      <c r="O1154" s="640">
        <f t="shared" si="200"/>
        <v>0</v>
      </c>
      <c r="P1154" s="405"/>
      <c r="Q1154" s="635">
        <f t="shared" si="201"/>
        <v>0</v>
      </c>
    </row>
    <row r="1155" spans="1:20" s="510" customFormat="1" ht="72" hidden="1" customHeight="1">
      <c r="A1155" s="501"/>
      <c r="B1155" s="502"/>
      <c r="C1155" s="503" t="s">
        <v>310</v>
      </c>
      <c r="D1155" s="504"/>
      <c r="E1155" s="505"/>
      <c r="F1155" s="504"/>
      <c r="G1155" s="504"/>
      <c r="H1155" s="504"/>
      <c r="I1155" s="506">
        <f>SUM(I1156,I1157)</f>
        <v>60000</v>
      </c>
      <c r="J1155" s="506">
        <f>SUM(J1156,J1157)</f>
        <v>36331</v>
      </c>
      <c r="K1155" s="506">
        <f>I1155+J1155</f>
        <v>96331</v>
      </c>
      <c r="L1155" s="507">
        <f>SUM(L1156,L1157)</f>
        <v>60000</v>
      </c>
      <c r="M1155" s="507">
        <f>SUM(M1156,M1157)</f>
        <v>36331</v>
      </c>
      <c r="N1155" s="507">
        <f>L1155+M1155</f>
        <v>96331</v>
      </c>
      <c r="O1155" s="640">
        <f t="shared" si="200"/>
        <v>14532.4</v>
      </c>
      <c r="P1155" s="508"/>
      <c r="Q1155" s="635">
        <f t="shared" si="201"/>
        <v>14532.4</v>
      </c>
      <c r="R1155" s="508"/>
      <c r="S1155" s="508"/>
      <c r="T1155" s="509"/>
    </row>
    <row r="1156" spans="1:20" ht="54.75" customHeight="1">
      <c r="A1156" s="273" t="s">
        <v>616</v>
      </c>
      <c r="B1156" s="481" t="s">
        <v>1027</v>
      </c>
      <c r="C1156" s="490" t="s">
        <v>681</v>
      </c>
      <c r="D1156" s="483">
        <v>8100</v>
      </c>
      <c r="E1156" s="484">
        <v>108288</v>
      </c>
      <c r="F1156" s="526" t="s">
        <v>86</v>
      </c>
      <c r="G1156" s="488" t="s">
        <v>725</v>
      </c>
      <c r="H1156" s="489">
        <v>1</v>
      </c>
      <c r="I1156" s="473">
        <f>INT(L1156*$Q$139)</f>
        <v>60000</v>
      </c>
      <c r="J1156" s="473">
        <f>INT(M1156*$R$139)</f>
        <v>36331</v>
      </c>
      <c r="K1156" s="473">
        <f>SUM(I1156:J1156)</f>
        <v>96331</v>
      </c>
      <c r="L1156" s="167">
        <v>60000</v>
      </c>
      <c r="M1156" s="167">
        <v>36331</v>
      </c>
      <c r="N1156" s="167">
        <f>SUM(L1156,M1156)</f>
        <v>96331</v>
      </c>
      <c r="O1156" s="640">
        <f t="shared" si="200"/>
        <v>14532.4</v>
      </c>
      <c r="P1156" s="405"/>
      <c r="Q1156" s="635">
        <f t="shared" si="201"/>
        <v>14532.4</v>
      </c>
    </row>
    <row r="1157" spans="1:20" ht="54.75" hidden="1" customHeight="1">
      <c r="A1157" s="273"/>
      <c r="B1157" s="481" t="s">
        <v>1186</v>
      </c>
      <c r="C1157" s="490" t="s">
        <v>1074</v>
      </c>
      <c r="D1157" s="483">
        <v>112</v>
      </c>
      <c r="E1157" s="484">
        <v>108288</v>
      </c>
      <c r="F1157" s="526" t="s">
        <v>86</v>
      </c>
      <c r="G1157" s="488" t="s">
        <v>1075</v>
      </c>
      <c r="H1157" s="489"/>
      <c r="I1157" s="473">
        <f>INT(L1157*$Q$139)</f>
        <v>0</v>
      </c>
      <c r="J1157" s="473">
        <f>INT(M1157*$R$139)</f>
        <v>0</v>
      </c>
      <c r="K1157" s="473">
        <f>SUM(I1157:J1157)</f>
        <v>0</v>
      </c>
      <c r="L1157" s="167"/>
      <c r="M1157" s="167"/>
      <c r="N1157" s="167">
        <f>SUM(L1157,M1157)</f>
        <v>0</v>
      </c>
      <c r="O1157" s="640">
        <f t="shared" si="200"/>
        <v>0</v>
      </c>
      <c r="P1157" s="405"/>
      <c r="Q1157" s="635">
        <f t="shared" si="201"/>
        <v>0</v>
      </c>
    </row>
    <row r="1158" spans="1:20" s="510" customFormat="1" ht="72" hidden="1" customHeight="1">
      <c r="A1158" s="501"/>
      <c r="B1158" s="502"/>
      <c r="C1158" s="503" t="s">
        <v>278</v>
      </c>
      <c r="D1158" s="504"/>
      <c r="E1158" s="505"/>
      <c r="F1158" s="504"/>
      <c r="G1158" s="504"/>
      <c r="H1158" s="504"/>
      <c r="I1158" s="506">
        <f>SUM(I1159)</f>
        <v>10000</v>
      </c>
      <c r="J1158" s="506"/>
      <c r="K1158" s="506">
        <f>I1158+J1158</f>
        <v>10000</v>
      </c>
      <c r="L1158" s="507">
        <f>SUM(L1159)</f>
        <v>10000</v>
      </c>
      <c r="M1158" s="507"/>
      <c r="N1158" s="507">
        <f>L1158+M1158</f>
        <v>10000</v>
      </c>
      <c r="O1158" s="640">
        <f t="shared" si="200"/>
        <v>0</v>
      </c>
      <c r="P1158" s="508"/>
      <c r="Q1158" s="635">
        <f t="shared" si="201"/>
        <v>0</v>
      </c>
      <c r="R1158" s="508"/>
      <c r="S1158" s="508"/>
      <c r="T1158" s="509"/>
    </row>
    <row r="1159" spans="1:20" ht="54.75" hidden="1" customHeight="1">
      <c r="A1159" s="273" t="s">
        <v>653</v>
      </c>
      <c r="B1159" s="481" t="s">
        <v>1031</v>
      </c>
      <c r="C1159" s="490" t="s">
        <v>319</v>
      </c>
      <c r="D1159" s="483">
        <v>8100</v>
      </c>
      <c r="E1159" s="484" t="s">
        <v>686</v>
      </c>
      <c r="F1159" s="526" t="s">
        <v>86</v>
      </c>
      <c r="G1159" s="488" t="s">
        <v>18</v>
      </c>
      <c r="H1159" s="489">
        <v>110</v>
      </c>
      <c r="I1159" s="473">
        <f>INT(L1159*$Q$139)</f>
        <v>10000</v>
      </c>
      <c r="J1159" s="473">
        <f>INT(M1159*$R$139)</f>
        <v>0</v>
      </c>
      <c r="K1159" s="473">
        <f>SUM(I1159:J1159)</f>
        <v>10000</v>
      </c>
      <c r="L1159" s="167">
        <v>10000</v>
      </c>
      <c r="M1159" s="167">
        <v>0</v>
      </c>
      <c r="N1159" s="167">
        <f>SUM(L1159,M1159)</f>
        <v>10000</v>
      </c>
      <c r="O1159" s="640">
        <f t="shared" si="200"/>
        <v>0</v>
      </c>
      <c r="P1159" s="405"/>
      <c r="Q1159" s="635">
        <f t="shared" si="201"/>
        <v>0</v>
      </c>
    </row>
    <row r="1160" spans="1:20" ht="41.25" hidden="1" customHeight="1">
      <c r="A1160" s="149"/>
      <c r="B1160" s="149"/>
      <c r="C1160" s="143" t="s">
        <v>274</v>
      </c>
      <c r="D1160" s="144"/>
      <c r="E1160" s="144"/>
      <c r="F1160" s="137"/>
      <c r="G1160" s="143"/>
      <c r="H1160" s="135"/>
      <c r="I1160" s="391">
        <f t="shared" ref="I1160:N1160" si="203">SUM(I1161:I1162)</f>
        <v>0</v>
      </c>
      <c r="J1160" s="391">
        <f t="shared" si="203"/>
        <v>0</v>
      </c>
      <c r="K1160" s="391">
        <f t="shared" si="203"/>
        <v>0</v>
      </c>
      <c r="L1160" s="391">
        <f t="shared" si="203"/>
        <v>0</v>
      </c>
      <c r="M1160" s="391">
        <f t="shared" si="203"/>
        <v>0</v>
      </c>
      <c r="N1160" s="391">
        <f t="shared" si="203"/>
        <v>0</v>
      </c>
      <c r="O1160" s="640">
        <f t="shared" si="200"/>
        <v>0</v>
      </c>
      <c r="Q1160" s="635">
        <f t="shared" si="201"/>
        <v>0</v>
      </c>
    </row>
    <row r="1161" spans="1:20" ht="48.75" hidden="1" customHeight="1">
      <c r="A1161" s="273" t="s">
        <v>835</v>
      </c>
      <c r="B1161" s="273" t="s">
        <v>835</v>
      </c>
      <c r="C1161" s="183" t="s">
        <v>681</v>
      </c>
      <c r="D1161" s="228">
        <v>112</v>
      </c>
      <c r="E1161" s="229" t="s">
        <v>795</v>
      </c>
      <c r="F1161" s="230" t="s">
        <v>86</v>
      </c>
      <c r="G1161" s="237" t="s">
        <v>725</v>
      </c>
      <c r="H1161" s="251">
        <v>1</v>
      </c>
      <c r="I1161" s="388">
        <f>INT(L1161*$Q$139)</f>
        <v>0</v>
      </c>
      <c r="J1161" s="388">
        <f>INT(M1161*$R$139)</f>
        <v>0</v>
      </c>
      <c r="K1161" s="388">
        <f>SUM(I1161:J1161)</f>
        <v>0</v>
      </c>
      <c r="L1161" s="167"/>
      <c r="M1161" s="168"/>
      <c r="N1161" s="167">
        <f>SUM(L1161,M1161)</f>
        <v>0</v>
      </c>
      <c r="O1161" s="640">
        <f t="shared" si="200"/>
        <v>0</v>
      </c>
      <c r="Q1161" s="635">
        <f t="shared" si="201"/>
        <v>0</v>
      </c>
    </row>
    <row r="1162" spans="1:20" ht="48.75" hidden="1" customHeight="1">
      <c r="A1162" s="273" t="s">
        <v>837</v>
      </c>
      <c r="B1162" s="273" t="s">
        <v>837</v>
      </c>
      <c r="C1162" s="241" t="s">
        <v>316</v>
      </c>
      <c r="D1162" s="228">
        <v>112</v>
      </c>
      <c r="E1162" s="229" t="s">
        <v>795</v>
      </c>
      <c r="F1162" s="230" t="s">
        <v>86</v>
      </c>
      <c r="G1162" s="242" t="s">
        <v>315</v>
      </c>
      <c r="H1162" s="251">
        <v>1</v>
      </c>
      <c r="I1162" s="388">
        <f>INT(L1162*$Q$139)</f>
        <v>0</v>
      </c>
      <c r="J1162" s="388">
        <f>INT(M1162*$R$139)</f>
        <v>0</v>
      </c>
      <c r="K1162" s="388">
        <f>SUM(I1162:J1162)</f>
        <v>0</v>
      </c>
      <c r="L1162" s="167"/>
      <c r="M1162" s="167"/>
      <c r="N1162" s="167">
        <f>SUM(L1162,M1162)</f>
        <v>0</v>
      </c>
      <c r="O1162" s="640">
        <f t="shared" si="200"/>
        <v>0</v>
      </c>
      <c r="Q1162" s="635">
        <f t="shared" si="201"/>
        <v>0</v>
      </c>
    </row>
    <row r="1163" spans="1:20" s="510" customFormat="1" ht="72" hidden="1" customHeight="1">
      <c r="A1163" s="501"/>
      <c r="B1163" s="502"/>
      <c r="C1163" s="503" t="s">
        <v>312</v>
      </c>
      <c r="D1163" s="504"/>
      <c r="E1163" s="505"/>
      <c r="F1163" s="504"/>
      <c r="G1163" s="504"/>
      <c r="H1163" s="504"/>
      <c r="I1163" s="506">
        <f>SUM(I1164,I1165)</f>
        <v>42317</v>
      </c>
      <c r="J1163" s="506">
        <f>SUM(J1164,J1165)</f>
        <v>21158</v>
      </c>
      <c r="K1163" s="506">
        <f>I1163+J1163</f>
        <v>63475</v>
      </c>
      <c r="L1163" s="507">
        <f>SUM(L1164,L1165)</f>
        <v>42317</v>
      </c>
      <c r="M1163" s="507">
        <f>SUM(M1164,M1165)</f>
        <v>21158</v>
      </c>
      <c r="N1163" s="507">
        <f>L1163+M1163</f>
        <v>63475</v>
      </c>
      <c r="O1163" s="640">
        <f t="shared" si="200"/>
        <v>8463.2000000000007</v>
      </c>
      <c r="P1163" s="508"/>
      <c r="Q1163" s="635">
        <f t="shared" si="201"/>
        <v>8463.2000000000007</v>
      </c>
      <c r="R1163" s="508"/>
      <c r="S1163" s="508"/>
      <c r="T1163" s="509"/>
    </row>
    <row r="1164" spans="1:20" ht="54.75" customHeight="1">
      <c r="A1164" s="273" t="s">
        <v>631</v>
      </c>
      <c r="B1164" s="481" t="s">
        <v>1030</v>
      </c>
      <c r="C1164" s="490" t="s">
        <v>316</v>
      </c>
      <c r="D1164" s="483">
        <v>8100</v>
      </c>
      <c r="E1164" s="484">
        <v>108288</v>
      </c>
      <c r="F1164" s="526" t="s">
        <v>86</v>
      </c>
      <c r="G1164" s="488" t="s">
        <v>315</v>
      </c>
      <c r="H1164" s="489">
        <v>1</v>
      </c>
      <c r="I1164" s="473">
        <f>INT(L1164*$Q$139)</f>
        <v>42317</v>
      </c>
      <c r="J1164" s="473">
        <f>INT(M1164*$R$139)</f>
        <v>21158</v>
      </c>
      <c r="K1164" s="473">
        <f>SUM(I1164:J1164)</f>
        <v>63475</v>
      </c>
      <c r="L1164" s="167">
        <v>42317</v>
      </c>
      <c r="M1164" s="167">
        <v>21158</v>
      </c>
      <c r="N1164" s="167">
        <f>SUM(L1164,M1164)</f>
        <v>63475</v>
      </c>
      <c r="O1164" s="640">
        <f t="shared" si="200"/>
        <v>8463.2000000000007</v>
      </c>
      <c r="P1164" s="405"/>
      <c r="Q1164" s="635">
        <f t="shared" si="201"/>
        <v>8463.2000000000007</v>
      </c>
    </row>
    <row r="1165" spans="1:20" ht="54.75" hidden="1" customHeight="1">
      <c r="A1165" s="273"/>
      <c r="B1165" s="481" t="s">
        <v>1188</v>
      </c>
      <c r="C1165" s="490" t="s">
        <v>1187</v>
      </c>
      <c r="D1165" s="483">
        <v>112</v>
      </c>
      <c r="E1165" s="484">
        <v>108288</v>
      </c>
      <c r="F1165" s="526" t="s">
        <v>86</v>
      </c>
      <c r="G1165" s="488" t="s">
        <v>1075</v>
      </c>
      <c r="H1165" s="489"/>
      <c r="I1165" s="473">
        <f>INT(L1165*$Q$139)</f>
        <v>0</v>
      </c>
      <c r="J1165" s="473">
        <f>INT(M1165*$R$139)</f>
        <v>0</v>
      </c>
      <c r="K1165" s="473">
        <f>SUM(I1165:J1165)</f>
        <v>0</v>
      </c>
      <c r="L1165" s="167"/>
      <c r="M1165" s="167"/>
      <c r="N1165" s="167">
        <f>SUM(L1165,M1165)</f>
        <v>0</v>
      </c>
      <c r="O1165" s="640">
        <f t="shared" si="200"/>
        <v>0</v>
      </c>
      <c r="P1165" s="405"/>
      <c r="Q1165" s="635">
        <f t="shared" si="201"/>
        <v>0</v>
      </c>
    </row>
    <row r="1166" spans="1:20" ht="54.75" hidden="1" customHeight="1">
      <c r="A1166" s="527"/>
      <c r="B1166" s="1287" t="s">
        <v>1276</v>
      </c>
      <c r="C1166" s="1287"/>
      <c r="D1166" s="1287"/>
      <c r="E1166" s="1287"/>
      <c r="F1166" s="1287"/>
      <c r="G1166" s="1287"/>
      <c r="H1166" s="1287"/>
      <c r="I1166" s="1287"/>
      <c r="J1166" s="1287"/>
      <c r="K1166" s="1287"/>
      <c r="L1166" s="536"/>
      <c r="M1166" s="536"/>
      <c r="N1166" s="536"/>
      <c r="O1166" s="640">
        <f t="shared" si="200"/>
        <v>0</v>
      </c>
      <c r="P1166" s="405"/>
      <c r="Q1166" s="635">
        <f t="shared" si="201"/>
        <v>0</v>
      </c>
    </row>
    <row r="1167" spans="1:20" ht="54.75" hidden="1" customHeight="1" thickBot="1">
      <c r="A1167" s="527"/>
      <c r="B1167" s="528"/>
      <c r="C1167" s="529"/>
      <c r="D1167" s="530"/>
      <c r="E1167" s="531"/>
      <c r="F1167" s="532"/>
      <c r="G1167" s="533"/>
      <c r="H1167" s="534"/>
      <c r="I1167" s="535"/>
      <c r="J1167" s="535"/>
      <c r="K1167" s="535"/>
      <c r="L1167" s="536"/>
      <c r="M1167" s="536"/>
      <c r="N1167" s="536"/>
      <c r="O1167" s="640">
        <f t="shared" si="200"/>
        <v>0</v>
      </c>
      <c r="P1167" s="405"/>
      <c r="Q1167" s="635">
        <f t="shared" si="201"/>
        <v>0</v>
      </c>
    </row>
    <row r="1168" spans="1:20" ht="29.25" hidden="1" customHeight="1">
      <c r="C1168" s="1204" t="s">
        <v>51</v>
      </c>
      <c r="D1168" s="1204"/>
      <c r="E1168" s="1204"/>
      <c r="F1168" s="1204"/>
      <c r="H1168" s="1243" t="s">
        <v>11</v>
      </c>
      <c r="I1168" s="1244"/>
      <c r="J1168" s="1244"/>
      <c r="K1168" s="1245"/>
      <c r="L1168" s="337"/>
      <c r="M1168" s="337"/>
      <c r="N1168" s="337"/>
      <c r="O1168" s="640">
        <f t="shared" si="200"/>
        <v>0</v>
      </c>
      <c r="Q1168" s="635">
        <f t="shared" si="201"/>
        <v>0</v>
      </c>
    </row>
    <row r="1169" spans="1:20" ht="29.25" hidden="1" customHeight="1">
      <c r="C1169" s="1204" t="s">
        <v>52</v>
      </c>
      <c r="D1169" s="1204"/>
      <c r="E1169" s="1204"/>
      <c r="F1169" s="1204"/>
      <c r="G1169" s="44"/>
      <c r="H1169" s="1208" t="s">
        <v>21</v>
      </c>
      <c r="I1169" s="1209"/>
      <c r="J1169" s="1209"/>
      <c r="K1169" s="1210"/>
      <c r="L1169" s="336"/>
      <c r="M1169" s="336"/>
      <c r="N1169" s="336"/>
      <c r="O1169" s="640">
        <f t="shared" si="200"/>
        <v>0</v>
      </c>
      <c r="Q1169" s="635">
        <f t="shared" si="201"/>
        <v>0</v>
      </c>
    </row>
    <row r="1170" spans="1:20" ht="29.25" hidden="1" customHeight="1">
      <c r="C1170" s="1204" t="s">
        <v>50</v>
      </c>
      <c r="D1170" s="1204"/>
      <c r="E1170" s="1204"/>
      <c r="F1170" s="1204"/>
      <c r="G1170" s="44"/>
      <c r="H1170" s="1211"/>
      <c r="I1170" s="1212"/>
      <c r="J1170" s="1212"/>
      <c r="K1170" s="1213"/>
      <c r="L1170" s="336"/>
      <c r="M1170" s="336"/>
      <c r="N1170" s="336"/>
      <c r="O1170" s="640">
        <f t="shared" si="200"/>
        <v>0</v>
      </c>
      <c r="Q1170" s="635">
        <f t="shared" si="201"/>
        <v>0</v>
      </c>
    </row>
    <row r="1171" spans="1:20" ht="39.950000000000003" hidden="1" customHeight="1">
      <c r="C1171" s="1252"/>
      <c r="D1171" s="1252"/>
      <c r="E1171" s="1252"/>
      <c r="F1171" s="1252"/>
      <c r="G1171" s="44"/>
      <c r="H1171" s="1211" t="s">
        <v>22</v>
      </c>
      <c r="I1171" s="1212"/>
      <c r="J1171" s="1212"/>
      <c r="K1171" s="477">
        <f>K1212</f>
        <v>14317270</v>
      </c>
      <c r="L1171" s="336"/>
      <c r="M1171" s="336"/>
      <c r="N1171" s="86"/>
      <c r="O1171" s="640">
        <f t="shared" si="200"/>
        <v>0</v>
      </c>
      <c r="Q1171" s="635">
        <f t="shared" si="201"/>
        <v>0</v>
      </c>
    </row>
    <row r="1172" spans="1:20" ht="45" hidden="1" customHeight="1" thickBot="1">
      <c r="A1172" s="75"/>
      <c r="B1172" s="75"/>
      <c r="C1172" s="65"/>
      <c r="D1172" s="608"/>
      <c r="E1172" s="100"/>
      <c r="F1172" s="10"/>
      <c r="G1172" s="10"/>
      <c r="H1172" s="1283" t="s">
        <v>13</v>
      </c>
      <c r="I1172" s="1284"/>
      <c r="J1172" s="1284"/>
      <c r="K1172" s="1285"/>
      <c r="L1172" s="336"/>
      <c r="M1172" s="336"/>
      <c r="N1172" s="336"/>
      <c r="O1172" s="640">
        <f t="shared" si="200"/>
        <v>0</v>
      </c>
      <c r="Q1172" s="635">
        <f t="shared" si="201"/>
        <v>0</v>
      </c>
    </row>
    <row r="1173" spans="1:20" ht="30" hidden="1" customHeight="1">
      <c r="A1173" s="614"/>
      <c r="B1173" s="614"/>
      <c r="C1173" s="614"/>
      <c r="D1173" s="608"/>
      <c r="E1173" s="100"/>
      <c r="F1173" s="614"/>
      <c r="G1173" s="97"/>
      <c r="H1173" s="97"/>
      <c r="I1173" s="97"/>
      <c r="J1173" s="97"/>
      <c r="K1173" s="97"/>
      <c r="L1173" s="614"/>
      <c r="M1173" s="614"/>
      <c r="N1173" s="614"/>
      <c r="O1173" s="640">
        <f t="shared" si="200"/>
        <v>0</v>
      </c>
      <c r="Q1173" s="635">
        <f t="shared" si="201"/>
        <v>0</v>
      </c>
    </row>
    <row r="1174" spans="1:20" ht="39.950000000000003" hidden="1" customHeight="1">
      <c r="A1174" s="346"/>
      <c r="B1174" s="1226" t="s">
        <v>1037</v>
      </c>
      <c r="C1174" s="1226"/>
      <c r="D1174" s="1226"/>
      <c r="E1174" s="1226"/>
      <c r="F1174" s="1226"/>
      <c r="G1174" s="1226"/>
      <c r="H1174" s="1226"/>
      <c r="I1174" s="1226"/>
      <c r="J1174" s="1226"/>
      <c r="K1174" s="1226"/>
      <c r="L1174" s="346"/>
      <c r="M1174" s="346"/>
      <c r="N1174" s="346"/>
      <c r="O1174" s="640">
        <f t="shared" si="200"/>
        <v>0</v>
      </c>
      <c r="P1174" s="27"/>
      <c r="Q1174" s="635">
        <f t="shared" si="201"/>
        <v>0</v>
      </c>
      <c r="R1174" s="27"/>
      <c r="S1174" s="27"/>
      <c r="T1174" s="27"/>
    </row>
    <row r="1175" spans="1:20" ht="25.5" hidden="1" customHeight="1">
      <c r="A1175" s="46"/>
      <c r="B1175" s="46"/>
      <c r="C1175" s="46"/>
      <c r="D1175" s="46"/>
      <c r="E1175" s="46"/>
      <c r="F1175" s="46"/>
      <c r="G1175" s="46"/>
      <c r="H1175" s="46"/>
      <c r="I1175" s="46"/>
      <c r="J1175" s="46"/>
      <c r="K1175" s="46"/>
      <c r="L1175" s="46"/>
      <c r="M1175" s="46"/>
      <c r="N1175" s="46"/>
      <c r="O1175" s="640">
        <f t="shared" si="200"/>
        <v>0</v>
      </c>
      <c r="Q1175" s="635">
        <f t="shared" si="201"/>
        <v>0</v>
      </c>
    </row>
    <row r="1176" spans="1:20" s="500" customFormat="1" ht="90" hidden="1">
      <c r="A1176" s="496" t="s">
        <v>14</v>
      </c>
      <c r="B1176" s="497" t="s">
        <v>14</v>
      </c>
      <c r="C1176" s="497" t="s">
        <v>37</v>
      </c>
      <c r="D1176" s="497" t="s">
        <v>440</v>
      </c>
      <c r="E1176" s="497" t="s">
        <v>16</v>
      </c>
      <c r="F1176" s="497" t="s">
        <v>185</v>
      </c>
      <c r="G1176" s="497" t="s">
        <v>178</v>
      </c>
      <c r="H1176" s="497" t="s">
        <v>179</v>
      </c>
      <c r="I1176" s="497" t="s">
        <v>180</v>
      </c>
      <c r="J1176" s="497" t="s">
        <v>1275</v>
      </c>
      <c r="K1176" s="497" t="s">
        <v>200</v>
      </c>
      <c r="L1176" s="496" t="s">
        <v>180</v>
      </c>
      <c r="M1176" s="496" t="s">
        <v>181</v>
      </c>
      <c r="N1176" s="496" t="s">
        <v>200</v>
      </c>
      <c r="O1176" s="640" t="e">
        <f t="shared" si="200"/>
        <v>#VALUE!</v>
      </c>
      <c r="P1176" s="498"/>
      <c r="Q1176" s="635" t="e">
        <f t="shared" si="201"/>
        <v>#VALUE!</v>
      </c>
      <c r="R1176" s="498"/>
      <c r="S1176" s="498"/>
      <c r="T1176" s="499"/>
    </row>
    <row r="1177" spans="1:20" s="579" customFormat="1" ht="46.5" customHeight="1">
      <c r="A1177" s="572"/>
      <c r="B1177" s="572"/>
      <c r="C1177" s="573" t="s">
        <v>32</v>
      </c>
      <c r="D1177" s="574"/>
      <c r="E1177" s="574"/>
      <c r="F1177" s="575" t="s">
        <v>118</v>
      </c>
      <c r="G1177" s="576"/>
      <c r="H1177" s="576"/>
      <c r="I1177" s="577">
        <f>I1180+I1182+I1187+I1195+I1198+I1201</f>
        <v>1926876</v>
      </c>
      <c r="J1177" s="577">
        <f>J1180+J1182+J1187+J1195+J1198+J1201</f>
        <v>300486</v>
      </c>
      <c r="K1177" s="577">
        <f>I1177+J1177</f>
        <v>2227362</v>
      </c>
      <c r="L1177" s="578">
        <f>L1180+L1182+L1187+L1195+L1198+L1201</f>
        <v>1926876</v>
      </c>
      <c r="M1177" s="578">
        <f>M1180+M1182+M1187+M1195+M1198+M1201</f>
        <v>300486</v>
      </c>
      <c r="N1177" s="578">
        <f>L1177+M1177</f>
        <v>2227362</v>
      </c>
      <c r="O1177" s="644">
        <f t="shared" si="200"/>
        <v>120194.40000000001</v>
      </c>
      <c r="Q1177" s="635">
        <f t="shared" si="201"/>
        <v>120194.4</v>
      </c>
    </row>
    <row r="1178" spans="1:20" s="51" customFormat="1" ht="35.1" hidden="1" customHeight="1">
      <c r="A1178" s="152"/>
      <c r="B1178" s="434"/>
      <c r="C1178" s="144" t="s">
        <v>292</v>
      </c>
      <c r="D1178" s="144"/>
      <c r="E1178" s="144"/>
      <c r="F1178" s="135"/>
      <c r="G1178" s="143"/>
      <c r="H1178" s="135"/>
      <c r="I1178" s="391">
        <f>SUM(I1179)</f>
        <v>0</v>
      </c>
      <c r="J1178" s="391"/>
      <c r="K1178" s="391">
        <f>SUM(K1179)</f>
        <v>0</v>
      </c>
      <c r="L1178" s="391">
        <f>SUM(L1179)</f>
        <v>0</v>
      </c>
      <c r="M1178" s="391"/>
      <c r="N1178" s="391">
        <f>SUM(N1179)</f>
        <v>0</v>
      </c>
      <c r="O1178" s="640">
        <f t="shared" si="200"/>
        <v>0</v>
      </c>
      <c r="P1178" s="28"/>
      <c r="Q1178" s="635">
        <f t="shared" si="201"/>
        <v>0</v>
      </c>
      <c r="R1178" s="28"/>
      <c r="S1178" s="28"/>
      <c r="T1178" s="29"/>
    </row>
    <row r="1179" spans="1:20" ht="35.1" hidden="1" customHeight="1">
      <c r="A1179" s="435" t="s">
        <v>613</v>
      </c>
      <c r="B1179" s="435" t="s">
        <v>613</v>
      </c>
      <c r="C1179" s="183" t="s">
        <v>333</v>
      </c>
      <c r="D1179" s="228">
        <v>112</v>
      </c>
      <c r="E1179" s="229">
        <v>108288</v>
      </c>
      <c r="F1179" s="230" t="s">
        <v>27</v>
      </c>
      <c r="G1179" s="242" t="s">
        <v>147</v>
      </c>
      <c r="H1179" s="231">
        <v>1</v>
      </c>
      <c r="I1179" s="388">
        <f>INT(L1179*$Q$139)</f>
        <v>0</v>
      </c>
      <c r="J1179" s="388">
        <f>INT(M1179*$R$139)</f>
        <v>0</v>
      </c>
      <c r="K1179" s="388">
        <f>SUM(I1179:J1179)</f>
        <v>0</v>
      </c>
      <c r="L1179" s="388">
        <f>INT(O1179*$Q$139)</f>
        <v>0</v>
      </c>
      <c r="M1179" s="388">
        <f>INT(P1179*$R$139)</f>
        <v>0</v>
      </c>
      <c r="N1179" s="388">
        <f>SUM(L1179:M1179)</f>
        <v>0</v>
      </c>
      <c r="O1179" s="640">
        <f t="shared" si="200"/>
        <v>0</v>
      </c>
      <c r="P1179" s="27"/>
      <c r="Q1179" s="635">
        <f t="shared" si="201"/>
        <v>0</v>
      </c>
      <c r="R1179" s="27"/>
      <c r="S1179" s="27"/>
      <c r="T1179" s="27"/>
    </row>
    <row r="1180" spans="1:20" s="510" customFormat="1" ht="72" hidden="1" customHeight="1">
      <c r="A1180" s="501"/>
      <c r="B1180" s="502"/>
      <c r="C1180" s="503" t="s">
        <v>141</v>
      </c>
      <c r="D1180" s="504"/>
      <c r="E1180" s="505"/>
      <c r="F1180" s="504"/>
      <c r="G1180" s="504"/>
      <c r="H1180" s="504"/>
      <c r="I1180" s="506">
        <f>I1181</f>
        <v>256871</v>
      </c>
      <c r="J1180" s="506">
        <f>J1181</f>
        <v>0</v>
      </c>
      <c r="K1180" s="506">
        <f>I1180+J1180</f>
        <v>256871</v>
      </c>
      <c r="L1180" s="507">
        <f>L1181</f>
        <v>256871</v>
      </c>
      <c r="M1180" s="507">
        <f>M1181</f>
        <v>0</v>
      </c>
      <c r="N1180" s="507">
        <f>L1180+M1180</f>
        <v>256871</v>
      </c>
      <c r="O1180" s="640">
        <f t="shared" si="200"/>
        <v>0</v>
      </c>
      <c r="P1180" s="508"/>
      <c r="Q1180" s="635">
        <f t="shared" si="201"/>
        <v>0</v>
      </c>
      <c r="R1180" s="508"/>
      <c r="S1180" s="508"/>
      <c r="T1180" s="509"/>
    </row>
    <row r="1181" spans="1:20" ht="54.75" hidden="1" customHeight="1">
      <c r="A1181" s="273" t="s">
        <v>614</v>
      </c>
      <c r="B1181" s="481" t="s">
        <v>1173</v>
      </c>
      <c r="C1181" s="490" t="s">
        <v>317</v>
      </c>
      <c r="D1181" s="483">
        <v>8100</v>
      </c>
      <c r="E1181" s="484">
        <v>108288</v>
      </c>
      <c r="F1181" s="526" t="s">
        <v>27</v>
      </c>
      <c r="G1181" s="488" t="s">
        <v>143</v>
      </c>
      <c r="H1181" s="489">
        <v>715</v>
      </c>
      <c r="I1181" s="473">
        <f>INT(L1181*$Q$139)</f>
        <v>256871</v>
      </c>
      <c r="J1181" s="473">
        <f>INT(M1181*$R$139)</f>
        <v>0</v>
      </c>
      <c r="K1181" s="473">
        <f>SUM(I1181:J1181)</f>
        <v>256871</v>
      </c>
      <c r="L1181" s="167">
        <v>256871</v>
      </c>
      <c r="M1181" s="167"/>
      <c r="N1181" s="167">
        <f>SUM(L1181,M1181)</f>
        <v>256871</v>
      </c>
      <c r="O1181" s="640">
        <f t="shared" si="200"/>
        <v>0</v>
      </c>
      <c r="P1181" s="405"/>
      <c r="Q1181" s="635">
        <f t="shared" si="201"/>
        <v>0</v>
      </c>
    </row>
    <row r="1182" spans="1:20" s="510" customFormat="1" ht="72" hidden="1" customHeight="1">
      <c r="A1182" s="501"/>
      <c r="B1182" s="502"/>
      <c r="C1182" s="503" t="s">
        <v>310</v>
      </c>
      <c r="D1182" s="504"/>
      <c r="E1182" s="505"/>
      <c r="F1182" s="504"/>
      <c r="G1182" s="504"/>
      <c r="H1182" s="504"/>
      <c r="I1182" s="506">
        <f>I1183+I1184+I1185+I1186</f>
        <v>10000</v>
      </c>
      <c r="J1182" s="506">
        <f>J1183+J1184+J1185+J1186</f>
        <v>292463</v>
      </c>
      <c r="K1182" s="506">
        <f>I1182+J1182</f>
        <v>302463</v>
      </c>
      <c r="L1182" s="507">
        <f>L1183+L1184+L1185+L1186</f>
        <v>10000</v>
      </c>
      <c r="M1182" s="507">
        <f>M1183+M1184+M1185+M1186</f>
        <v>292463</v>
      </c>
      <c r="N1182" s="507">
        <f>L1182+M1182</f>
        <v>302463</v>
      </c>
      <c r="O1182" s="640">
        <f t="shared" si="200"/>
        <v>116985.20000000001</v>
      </c>
      <c r="P1182" s="508"/>
      <c r="Q1182" s="635">
        <f t="shared" si="201"/>
        <v>116985.2</v>
      </c>
      <c r="R1182" s="508"/>
      <c r="S1182" s="508"/>
      <c r="T1182" s="509"/>
    </row>
    <row r="1183" spans="1:20" ht="54.75" customHeight="1">
      <c r="A1183" s="273" t="s">
        <v>616</v>
      </c>
      <c r="B1183" s="481" t="s">
        <v>1027</v>
      </c>
      <c r="C1183" s="490" t="s">
        <v>681</v>
      </c>
      <c r="D1183" s="483">
        <v>8100</v>
      </c>
      <c r="E1183" s="484">
        <v>108288</v>
      </c>
      <c r="F1183" s="526" t="s">
        <v>27</v>
      </c>
      <c r="G1183" s="488" t="s">
        <v>725</v>
      </c>
      <c r="H1183" s="489">
        <v>1</v>
      </c>
      <c r="I1183" s="473">
        <f>INT(L1183*$Q$139)</f>
        <v>10000</v>
      </c>
      <c r="J1183" s="473">
        <f>INT(M1183*$R$139)</f>
        <v>15487</v>
      </c>
      <c r="K1183" s="473">
        <f>SUM(I1183:J1183)</f>
        <v>25487</v>
      </c>
      <c r="L1183" s="167">
        <v>10000</v>
      </c>
      <c r="M1183" s="167">
        <v>15487</v>
      </c>
      <c r="N1183" s="167">
        <f t="shared" ref="N1183:N1197" si="204">SUM(L1183,M1183)</f>
        <v>25487</v>
      </c>
      <c r="O1183" s="640">
        <f t="shared" si="200"/>
        <v>6194.8</v>
      </c>
      <c r="P1183" s="405"/>
      <c r="Q1183" s="635">
        <f t="shared" si="201"/>
        <v>6194.8</v>
      </c>
    </row>
    <row r="1184" spans="1:20" ht="54.75" hidden="1" customHeight="1">
      <c r="A1184" s="273"/>
      <c r="B1184" s="481" t="s">
        <v>1186</v>
      </c>
      <c r="C1184" s="490" t="s">
        <v>1074</v>
      </c>
      <c r="D1184" s="483">
        <v>100</v>
      </c>
      <c r="E1184" s="484">
        <v>108288</v>
      </c>
      <c r="F1184" s="526" t="s">
        <v>27</v>
      </c>
      <c r="G1184" s="488" t="s">
        <v>1075</v>
      </c>
      <c r="H1184" s="489"/>
      <c r="I1184" s="473">
        <f>INT(L1184*$Q$139)</f>
        <v>0</v>
      </c>
      <c r="J1184" s="473">
        <f>INT(M1184*$R$139)</f>
        <v>0</v>
      </c>
      <c r="K1184" s="473">
        <f>SUM(I1184:J1184)</f>
        <v>0</v>
      </c>
      <c r="L1184" s="167"/>
      <c r="M1184" s="167"/>
      <c r="N1184" s="167"/>
      <c r="O1184" s="640">
        <f t="shared" si="200"/>
        <v>0</v>
      </c>
      <c r="P1184" s="405"/>
      <c r="Q1184" s="635">
        <f t="shared" si="201"/>
        <v>0</v>
      </c>
    </row>
    <row r="1185" spans="1:20" ht="54.75" customHeight="1">
      <c r="A1185" s="273"/>
      <c r="B1185" s="481" t="s">
        <v>1192</v>
      </c>
      <c r="C1185" s="490" t="s">
        <v>1077</v>
      </c>
      <c r="D1185" s="483">
        <v>8100</v>
      </c>
      <c r="E1185" s="484">
        <v>108288</v>
      </c>
      <c r="F1185" s="526" t="s">
        <v>1328</v>
      </c>
      <c r="G1185" s="488" t="s">
        <v>1075</v>
      </c>
      <c r="H1185" s="491">
        <v>1</v>
      </c>
      <c r="I1185" s="473">
        <f>INT(L1185*$Q$139)</f>
        <v>0</v>
      </c>
      <c r="J1185" s="473">
        <f>INT(M1185*$R$139)</f>
        <v>103439</v>
      </c>
      <c r="K1185" s="473">
        <f>SUM(I1185:J1185)</f>
        <v>103439</v>
      </c>
      <c r="L1185" s="167"/>
      <c r="M1185" s="167">
        <v>103439</v>
      </c>
      <c r="N1185" s="167"/>
      <c r="O1185" s="640">
        <f t="shared" si="200"/>
        <v>41375.600000000006</v>
      </c>
      <c r="P1185" s="405"/>
      <c r="Q1185" s="635">
        <f t="shared" si="201"/>
        <v>41375.599999999999</v>
      </c>
    </row>
    <row r="1186" spans="1:20" ht="54.75" customHeight="1">
      <c r="A1186" s="273"/>
      <c r="B1186" s="481" t="s">
        <v>1193</v>
      </c>
      <c r="C1186" s="490" t="s">
        <v>1078</v>
      </c>
      <c r="D1186" s="483">
        <v>8100</v>
      </c>
      <c r="E1186" s="484">
        <v>108288</v>
      </c>
      <c r="F1186" s="526" t="s">
        <v>1329</v>
      </c>
      <c r="G1186" s="488" t="s">
        <v>1075</v>
      </c>
      <c r="H1186" s="491">
        <v>1</v>
      </c>
      <c r="I1186" s="473">
        <f>INT(L1186*$Q$139)</f>
        <v>0</v>
      </c>
      <c r="J1186" s="473">
        <f>INT(M1186*$R$139)</f>
        <v>173537</v>
      </c>
      <c r="K1186" s="473">
        <f>SUM(I1186:J1186)</f>
        <v>173537</v>
      </c>
      <c r="L1186" s="167"/>
      <c r="M1186" s="167">
        <v>173537</v>
      </c>
      <c r="N1186" s="167"/>
      <c r="O1186" s="640">
        <f t="shared" si="200"/>
        <v>69414.799999999988</v>
      </c>
      <c r="P1186" s="405"/>
      <c r="Q1186" s="635">
        <f t="shared" si="201"/>
        <v>69414.8</v>
      </c>
    </row>
    <row r="1187" spans="1:20" s="510" customFormat="1" ht="72" hidden="1" customHeight="1">
      <c r="A1187" s="501"/>
      <c r="B1187" s="502"/>
      <c r="C1187" s="503" t="s">
        <v>332</v>
      </c>
      <c r="D1187" s="504"/>
      <c r="E1187" s="505"/>
      <c r="F1187" s="504"/>
      <c r="G1187" s="504"/>
      <c r="H1187" s="504"/>
      <c r="I1187" s="506">
        <f>I1188+I1189+I1190+I1191</f>
        <v>1150005</v>
      </c>
      <c r="J1187" s="506">
        <f>J1188+J1189+J1190+J1191</f>
        <v>0</v>
      </c>
      <c r="K1187" s="506">
        <f>I1187+J1187</f>
        <v>1150005</v>
      </c>
      <c r="L1187" s="507">
        <f>L1188+L1189+L1190+L1191</f>
        <v>1150005</v>
      </c>
      <c r="M1187" s="507">
        <f>M1188+M1189+M1190+M1191</f>
        <v>0</v>
      </c>
      <c r="N1187" s="507">
        <f>L1187+M1187</f>
        <v>1150005</v>
      </c>
      <c r="O1187" s="640">
        <f t="shared" si="200"/>
        <v>0</v>
      </c>
      <c r="P1187" s="508"/>
      <c r="Q1187" s="635">
        <f t="shared" si="201"/>
        <v>0</v>
      </c>
      <c r="R1187" s="508"/>
      <c r="S1187" s="508"/>
      <c r="T1187" s="509"/>
    </row>
    <row r="1188" spans="1:20" ht="54.75" hidden="1" customHeight="1">
      <c r="A1188" s="273" t="s">
        <v>670</v>
      </c>
      <c r="B1188" s="481" t="s">
        <v>1174</v>
      </c>
      <c r="C1188" s="490" t="s">
        <v>250</v>
      </c>
      <c r="D1188" s="483">
        <v>8100</v>
      </c>
      <c r="E1188" s="484" t="s">
        <v>781</v>
      </c>
      <c r="F1188" s="526" t="s">
        <v>1329</v>
      </c>
      <c r="G1188" s="488" t="s">
        <v>143</v>
      </c>
      <c r="H1188" s="489">
        <v>1</v>
      </c>
      <c r="I1188" s="473">
        <f>INT(L1188*$Q$139)</f>
        <v>438991</v>
      </c>
      <c r="J1188" s="473">
        <f>INT(M1188*$R$139)</f>
        <v>0</v>
      </c>
      <c r="K1188" s="473">
        <f>SUM(I1188:J1188)</f>
        <v>438991</v>
      </c>
      <c r="L1188" s="167">
        <f>612528-173537</f>
        <v>438991</v>
      </c>
      <c r="M1188" s="167"/>
      <c r="N1188" s="167">
        <f t="shared" si="204"/>
        <v>438991</v>
      </c>
      <c r="O1188" s="640">
        <f t="shared" si="200"/>
        <v>0</v>
      </c>
      <c r="P1188" s="405"/>
      <c r="Q1188" s="635">
        <f t="shared" si="201"/>
        <v>0</v>
      </c>
    </row>
    <row r="1189" spans="1:20" ht="54.75" hidden="1" customHeight="1">
      <c r="A1189" s="273" t="s">
        <v>671</v>
      </c>
      <c r="B1189" s="481" t="s">
        <v>1175</v>
      </c>
      <c r="C1189" s="490" t="s">
        <v>251</v>
      </c>
      <c r="D1189" s="483">
        <v>8100</v>
      </c>
      <c r="E1189" s="484" t="s">
        <v>781</v>
      </c>
      <c r="F1189" s="526" t="s">
        <v>1328</v>
      </c>
      <c r="G1189" s="488" t="s">
        <v>143</v>
      </c>
      <c r="H1189" s="489">
        <v>1</v>
      </c>
      <c r="I1189" s="473">
        <f>INT(L1189*$Q$139)</f>
        <v>649174</v>
      </c>
      <c r="J1189" s="473">
        <f>INT(M1189*$R$139)</f>
        <v>0</v>
      </c>
      <c r="K1189" s="473">
        <f>SUM(I1189:J1189)</f>
        <v>649174</v>
      </c>
      <c r="L1189" s="167">
        <f>752613-103439</f>
        <v>649174</v>
      </c>
      <c r="M1189" s="167"/>
      <c r="N1189" s="167">
        <f t="shared" si="204"/>
        <v>649174</v>
      </c>
      <c r="O1189" s="640">
        <f t="shared" si="200"/>
        <v>0</v>
      </c>
      <c r="P1189" s="405"/>
      <c r="Q1189" s="635">
        <f t="shared" si="201"/>
        <v>0</v>
      </c>
    </row>
    <row r="1190" spans="1:20" ht="54.75" hidden="1" customHeight="1">
      <c r="A1190" s="273" t="s">
        <v>672</v>
      </c>
      <c r="B1190" s="481" t="s">
        <v>1176</v>
      </c>
      <c r="C1190" s="490" t="s">
        <v>370</v>
      </c>
      <c r="D1190" s="483">
        <v>8100</v>
      </c>
      <c r="E1190" s="484" t="s">
        <v>781</v>
      </c>
      <c r="F1190" s="526" t="s">
        <v>1329</v>
      </c>
      <c r="G1190" s="488" t="s">
        <v>315</v>
      </c>
      <c r="H1190" s="489">
        <v>1</v>
      </c>
      <c r="I1190" s="473">
        <f>INT(L1190*$Q$139)</f>
        <v>15000</v>
      </c>
      <c r="J1190" s="473">
        <f>INT(M1190*$R$139)</f>
        <v>0</v>
      </c>
      <c r="K1190" s="473">
        <f>SUM(I1190:J1190)</f>
        <v>15000</v>
      </c>
      <c r="L1190" s="167">
        <v>15000</v>
      </c>
      <c r="M1190" s="167"/>
      <c r="N1190" s="167">
        <f t="shared" si="204"/>
        <v>15000</v>
      </c>
      <c r="O1190" s="640">
        <f t="shared" si="200"/>
        <v>0</v>
      </c>
      <c r="P1190" s="405"/>
      <c r="Q1190" s="635">
        <f t="shared" si="201"/>
        <v>0</v>
      </c>
    </row>
    <row r="1191" spans="1:20" ht="54.75" hidden="1" customHeight="1">
      <c r="A1191" s="273" t="s">
        <v>673</v>
      </c>
      <c r="B1191" s="481" t="s">
        <v>1177</v>
      </c>
      <c r="C1191" s="490" t="s">
        <v>409</v>
      </c>
      <c r="D1191" s="483">
        <v>8100</v>
      </c>
      <c r="E1191" s="484" t="s">
        <v>781</v>
      </c>
      <c r="F1191" s="526" t="s">
        <v>1328</v>
      </c>
      <c r="G1191" s="488" t="s">
        <v>315</v>
      </c>
      <c r="H1191" s="489">
        <v>1</v>
      </c>
      <c r="I1191" s="473">
        <f>INT(L1191*$Q$139)</f>
        <v>46840</v>
      </c>
      <c r="J1191" s="473">
        <f>INT(M1191*$R$139)</f>
        <v>0</v>
      </c>
      <c r="K1191" s="473">
        <f>SUM(I1191:J1191)</f>
        <v>46840</v>
      </c>
      <c r="L1191" s="167">
        <v>46840</v>
      </c>
      <c r="M1191" s="167"/>
      <c r="N1191" s="167">
        <f t="shared" si="204"/>
        <v>46840</v>
      </c>
      <c r="O1191" s="640">
        <f t="shared" si="200"/>
        <v>0</v>
      </c>
      <c r="P1191" s="405"/>
      <c r="Q1191" s="635">
        <f t="shared" si="201"/>
        <v>0</v>
      </c>
    </row>
    <row r="1192" spans="1:20" ht="41.25" hidden="1" customHeight="1">
      <c r="A1192" s="149"/>
      <c r="B1192" s="434"/>
      <c r="C1192" s="143" t="s">
        <v>274</v>
      </c>
      <c r="D1192" s="144"/>
      <c r="E1192" s="144"/>
      <c r="F1192" s="137"/>
      <c r="G1192" s="143"/>
      <c r="H1192" s="135"/>
      <c r="I1192" s="391">
        <f t="shared" ref="I1192:N1192" si="205">SUM(I1193:I1194)</f>
        <v>0</v>
      </c>
      <c r="J1192" s="391">
        <f t="shared" si="205"/>
        <v>0</v>
      </c>
      <c r="K1192" s="391">
        <f t="shared" si="205"/>
        <v>0</v>
      </c>
      <c r="L1192" s="391">
        <f t="shared" si="205"/>
        <v>0</v>
      </c>
      <c r="M1192" s="391">
        <f t="shared" si="205"/>
        <v>0</v>
      </c>
      <c r="N1192" s="391">
        <f t="shared" si="205"/>
        <v>0</v>
      </c>
      <c r="O1192" s="640">
        <f t="shared" ref="O1192:O1255" si="206">(J1192/100)*40</f>
        <v>0</v>
      </c>
      <c r="Q1192" s="635">
        <f t="shared" ref="Q1192:Q1255" si="207">($Q$932*J1192)/100</f>
        <v>0</v>
      </c>
    </row>
    <row r="1193" spans="1:20" ht="48.75" hidden="1" customHeight="1">
      <c r="A1193" s="443" t="s">
        <v>835</v>
      </c>
      <c r="B1193" s="443" t="s">
        <v>835</v>
      </c>
      <c r="C1193" s="183" t="s">
        <v>681</v>
      </c>
      <c r="D1193" s="228">
        <v>112</v>
      </c>
      <c r="E1193" s="229" t="s">
        <v>795</v>
      </c>
      <c r="F1193" s="230" t="s">
        <v>369</v>
      </c>
      <c r="G1193" s="237" t="s">
        <v>725</v>
      </c>
      <c r="H1193" s="251">
        <v>1</v>
      </c>
      <c r="I1193" s="388">
        <f>INT(L1193*$Q$139)</f>
        <v>0</v>
      </c>
      <c r="J1193" s="388">
        <f>INT(M1193*$R$139)</f>
        <v>0</v>
      </c>
      <c r="K1193" s="388">
        <f>SUM(I1193:J1193)</f>
        <v>0</v>
      </c>
      <c r="L1193" s="167"/>
      <c r="M1193" s="167"/>
      <c r="N1193" s="167">
        <f>SUM(L1193,M1193)</f>
        <v>0</v>
      </c>
      <c r="O1193" s="640">
        <f t="shared" si="206"/>
        <v>0</v>
      </c>
      <c r="Q1193" s="635">
        <f t="shared" si="207"/>
        <v>0</v>
      </c>
    </row>
    <row r="1194" spans="1:20" ht="48.75" hidden="1" customHeight="1">
      <c r="A1194" s="443" t="s">
        <v>837</v>
      </c>
      <c r="B1194" s="443" t="s">
        <v>837</v>
      </c>
      <c r="C1194" s="241" t="s">
        <v>316</v>
      </c>
      <c r="D1194" s="228">
        <v>112</v>
      </c>
      <c r="E1194" s="229" t="s">
        <v>795</v>
      </c>
      <c r="F1194" s="230" t="s">
        <v>369</v>
      </c>
      <c r="G1194" s="242" t="s">
        <v>315</v>
      </c>
      <c r="H1194" s="251">
        <v>1</v>
      </c>
      <c r="I1194" s="388">
        <f>INT(L1194*$Q$139)</f>
        <v>0</v>
      </c>
      <c r="J1194" s="388">
        <f>INT(M1194*$R$139)</f>
        <v>0</v>
      </c>
      <c r="K1194" s="388">
        <f>SUM(I1194:J1194)</f>
        <v>0</v>
      </c>
      <c r="L1194" s="167"/>
      <c r="M1194" s="167"/>
      <c r="N1194" s="167">
        <f>SUM(L1194,M1194)</f>
        <v>0</v>
      </c>
      <c r="O1194" s="640">
        <f t="shared" si="206"/>
        <v>0</v>
      </c>
      <c r="Q1194" s="635">
        <f t="shared" si="207"/>
        <v>0</v>
      </c>
    </row>
    <row r="1195" spans="1:20" s="510" customFormat="1" ht="72" hidden="1" customHeight="1">
      <c r="A1195" s="501"/>
      <c r="B1195" s="502"/>
      <c r="C1195" s="503" t="s">
        <v>312</v>
      </c>
      <c r="D1195" s="504"/>
      <c r="E1195" s="505"/>
      <c r="F1195" s="504"/>
      <c r="G1195" s="504"/>
      <c r="H1195" s="504"/>
      <c r="I1195" s="506">
        <f>I1196+I1197</f>
        <v>12000</v>
      </c>
      <c r="J1195" s="506">
        <f>J1196+J1197</f>
        <v>8023</v>
      </c>
      <c r="K1195" s="506">
        <f>I1195+J1195</f>
        <v>20023</v>
      </c>
      <c r="L1195" s="507">
        <f>L1196+L1197</f>
        <v>12000</v>
      </c>
      <c r="M1195" s="507">
        <f>M1196+M1197</f>
        <v>8023</v>
      </c>
      <c r="N1195" s="507">
        <f>L1195+M1195</f>
        <v>20023</v>
      </c>
      <c r="O1195" s="640">
        <f t="shared" si="206"/>
        <v>3209.2000000000003</v>
      </c>
      <c r="P1195" s="508"/>
      <c r="Q1195" s="635">
        <f t="shared" si="207"/>
        <v>3209.2</v>
      </c>
      <c r="R1195" s="508"/>
      <c r="S1195" s="508"/>
      <c r="T1195" s="509"/>
    </row>
    <row r="1196" spans="1:20" ht="54.75" customHeight="1">
      <c r="A1196" s="273" t="s">
        <v>631</v>
      </c>
      <c r="B1196" s="481" t="s">
        <v>1030</v>
      </c>
      <c r="C1196" s="490" t="s">
        <v>316</v>
      </c>
      <c r="D1196" s="483">
        <v>8100</v>
      </c>
      <c r="E1196" s="484">
        <v>108288</v>
      </c>
      <c r="F1196" s="526" t="s">
        <v>27</v>
      </c>
      <c r="G1196" s="488" t="s">
        <v>315</v>
      </c>
      <c r="H1196" s="489">
        <v>1</v>
      </c>
      <c r="I1196" s="473">
        <f>INT(L1196*$Q$139)</f>
        <v>12000</v>
      </c>
      <c r="J1196" s="473">
        <f>INT(M1196*$R$139)</f>
        <v>8023</v>
      </c>
      <c r="K1196" s="473">
        <f>SUM(I1196:J1196)</f>
        <v>20023</v>
      </c>
      <c r="L1196" s="167">
        <v>12000</v>
      </c>
      <c r="M1196" s="167">
        <v>8023</v>
      </c>
      <c r="N1196" s="167">
        <f t="shared" si="204"/>
        <v>20023</v>
      </c>
      <c r="O1196" s="640">
        <f t="shared" si="206"/>
        <v>3209.2000000000003</v>
      </c>
      <c r="P1196" s="405"/>
      <c r="Q1196" s="635">
        <f t="shared" si="207"/>
        <v>3209.2</v>
      </c>
    </row>
    <row r="1197" spans="1:20" ht="54.75" hidden="1" customHeight="1">
      <c r="A1197" s="273"/>
      <c r="B1197" s="481" t="s">
        <v>1188</v>
      </c>
      <c r="C1197" s="490" t="s">
        <v>1187</v>
      </c>
      <c r="D1197" s="483">
        <v>112</v>
      </c>
      <c r="E1197" s="484">
        <v>108288</v>
      </c>
      <c r="F1197" s="526" t="s">
        <v>27</v>
      </c>
      <c r="G1197" s="488" t="s">
        <v>1075</v>
      </c>
      <c r="H1197" s="489"/>
      <c r="I1197" s="473">
        <f>INT(L1197*$Q$139)</f>
        <v>0</v>
      </c>
      <c r="J1197" s="473">
        <f>INT(M1197*$R$139)</f>
        <v>0</v>
      </c>
      <c r="K1197" s="473">
        <f>SUM(I1197:J1197)</f>
        <v>0</v>
      </c>
      <c r="L1197" s="167"/>
      <c r="M1197" s="167"/>
      <c r="N1197" s="167">
        <f t="shared" si="204"/>
        <v>0</v>
      </c>
      <c r="O1197" s="640">
        <f t="shared" si="206"/>
        <v>0</v>
      </c>
      <c r="P1197" s="405"/>
      <c r="Q1197" s="635">
        <f t="shared" si="207"/>
        <v>0</v>
      </c>
    </row>
    <row r="1198" spans="1:20" s="510" customFormat="1" ht="72" hidden="1" customHeight="1">
      <c r="A1198" s="501"/>
      <c r="B1198" s="502"/>
      <c r="C1198" s="503" t="s">
        <v>481</v>
      </c>
      <c r="D1198" s="504"/>
      <c r="E1198" s="505"/>
      <c r="F1198" s="504"/>
      <c r="G1198" s="504"/>
      <c r="H1198" s="504"/>
      <c r="I1198" s="506">
        <f>SUM(I1199:I1200)</f>
        <v>488520</v>
      </c>
      <c r="J1198" s="506">
        <f>SUM(J1199:J1200)</f>
        <v>0</v>
      </c>
      <c r="K1198" s="506">
        <f>I1198+J1198</f>
        <v>488520</v>
      </c>
      <c r="L1198" s="507">
        <f>SUM(L1199:L1200)</f>
        <v>488520</v>
      </c>
      <c r="M1198" s="507">
        <f>SUM(M1199:M1202)</f>
        <v>0</v>
      </c>
      <c r="N1198" s="507">
        <f>L1198+M1198</f>
        <v>488520</v>
      </c>
      <c r="O1198" s="640">
        <f t="shared" si="206"/>
        <v>0</v>
      </c>
      <c r="P1198" s="508"/>
      <c r="Q1198" s="635">
        <f t="shared" si="207"/>
        <v>0</v>
      </c>
      <c r="R1198" s="508"/>
      <c r="S1198" s="508"/>
      <c r="T1198" s="509"/>
    </row>
    <row r="1199" spans="1:20" ht="54.75" hidden="1" customHeight="1">
      <c r="A1199" s="273" t="s">
        <v>643</v>
      </c>
      <c r="B1199" s="481" t="s">
        <v>643</v>
      </c>
      <c r="C1199" s="490" t="s">
        <v>458</v>
      </c>
      <c r="D1199" s="484" t="s">
        <v>1321</v>
      </c>
      <c r="E1199" s="484" t="s">
        <v>779</v>
      </c>
      <c r="F1199" s="526" t="s">
        <v>1329</v>
      </c>
      <c r="G1199" s="488" t="s">
        <v>147</v>
      </c>
      <c r="H1199" s="491">
        <v>1</v>
      </c>
      <c r="I1199" s="473">
        <f>L1199</f>
        <v>215000</v>
      </c>
      <c r="J1199" s="473">
        <f>INT(M1199*$R$139)</f>
        <v>0</v>
      </c>
      <c r="K1199" s="473">
        <f>SUM(I1199:J1199)</f>
        <v>215000</v>
      </c>
      <c r="L1199" s="167">
        <v>215000</v>
      </c>
      <c r="M1199" s="167"/>
      <c r="N1199" s="167">
        <f>SUM(L1199,M1199)</f>
        <v>215000</v>
      </c>
      <c r="O1199" s="640">
        <f t="shared" si="206"/>
        <v>0</v>
      </c>
      <c r="P1199" s="405"/>
      <c r="Q1199" s="635">
        <f t="shared" si="207"/>
        <v>0</v>
      </c>
    </row>
    <row r="1200" spans="1:20" ht="54.75" hidden="1" customHeight="1">
      <c r="A1200" s="273" t="s">
        <v>644</v>
      </c>
      <c r="B1200" s="481" t="s">
        <v>644</v>
      </c>
      <c r="C1200" s="490" t="s">
        <v>459</v>
      </c>
      <c r="D1200" s="484" t="s">
        <v>1321</v>
      </c>
      <c r="E1200" s="484" t="s">
        <v>779</v>
      </c>
      <c r="F1200" s="526" t="s">
        <v>1328</v>
      </c>
      <c r="G1200" s="488" t="s">
        <v>147</v>
      </c>
      <c r="H1200" s="491">
        <v>1</v>
      </c>
      <c r="I1200" s="473">
        <f>L1200</f>
        <v>273520</v>
      </c>
      <c r="J1200" s="473">
        <f>INT(M1200*$R$139)</f>
        <v>0</v>
      </c>
      <c r="K1200" s="473">
        <f>SUM(I1200:J1200)</f>
        <v>273520</v>
      </c>
      <c r="L1200" s="167">
        <v>273520</v>
      </c>
      <c r="M1200" s="167"/>
      <c r="N1200" s="167">
        <f>SUM(L1200,M1200)</f>
        <v>273520</v>
      </c>
      <c r="O1200" s="640">
        <f t="shared" si="206"/>
        <v>0</v>
      </c>
      <c r="P1200" s="405"/>
      <c r="Q1200" s="635">
        <f t="shared" si="207"/>
        <v>0</v>
      </c>
    </row>
    <row r="1201" spans="1:20" s="510" customFormat="1" ht="72" hidden="1" customHeight="1">
      <c r="A1201" s="501"/>
      <c r="B1201" s="502"/>
      <c r="C1201" s="503" t="s">
        <v>1248</v>
      </c>
      <c r="D1201" s="504"/>
      <c r="E1201" s="505"/>
      <c r="F1201" s="504"/>
      <c r="G1201" s="504"/>
      <c r="H1201" s="504"/>
      <c r="I1201" s="506">
        <f>SUM(I1202:I1206)</f>
        <v>9480</v>
      </c>
      <c r="J1201" s="506">
        <f>SUM(J1202:J1206)</f>
        <v>0</v>
      </c>
      <c r="K1201" s="506">
        <f>I1201+J1201</f>
        <v>9480</v>
      </c>
      <c r="L1201" s="507">
        <f>SUM(L1202:L1206)</f>
        <v>9480</v>
      </c>
      <c r="M1201" s="507">
        <f>SUM(M1202:M1206)</f>
        <v>0</v>
      </c>
      <c r="N1201" s="507">
        <f>L1201+M1201</f>
        <v>9480</v>
      </c>
      <c r="O1201" s="640">
        <f t="shared" si="206"/>
        <v>0</v>
      </c>
      <c r="P1201" s="508"/>
      <c r="Q1201" s="635">
        <f t="shared" si="207"/>
        <v>0</v>
      </c>
      <c r="R1201" s="508"/>
      <c r="S1201" s="508"/>
      <c r="T1201" s="509"/>
    </row>
    <row r="1202" spans="1:20" ht="54.75" hidden="1" customHeight="1">
      <c r="A1202" s="273" t="s">
        <v>644</v>
      </c>
      <c r="B1202" s="481" t="s">
        <v>1247</v>
      </c>
      <c r="C1202" s="490" t="s">
        <v>1318</v>
      </c>
      <c r="D1202" s="484" t="s">
        <v>1321</v>
      </c>
      <c r="E1202" s="484" t="s">
        <v>1250</v>
      </c>
      <c r="F1202" s="526" t="s">
        <v>1328</v>
      </c>
      <c r="G1202" s="488" t="s">
        <v>147</v>
      </c>
      <c r="H1202" s="491">
        <v>1</v>
      </c>
      <c r="I1202" s="473">
        <v>5309</v>
      </c>
      <c r="J1202" s="473">
        <f>INT(M1202*$R$139)</f>
        <v>0</v>
      </c>
      <c r="K1202" s="473">
        <f>SUM(I1202:J1202)</f>
        <v>5309</v>
      </c>
      <c r="L1202" s="167">
        <v>5309</v>
      </c>
      <c r="M1202" s="167"/>
      <c r="N1202" s="167">
        <f>SUM(L1202,M1202)</f>
        <v>5309</v>
      </c>
      <c r="O1202" s="640">
        <f t="shared" si="206"/>
        <v>0</v>
      </c>
      <c r="P1202" s="405"/>
      <c r="Q1202" s="635">
        <f t="shared" si="207"/>
        <v>0</v>
      </c>
    </row>
    <row r="1203" spans="1:20" ht="54.75" hidden="1" customHeight="1">
      <c r="A1203" s="273" t="s">
        <v>644</v>
      </c>
      <c r="B1203" s="481" t="s">
        <v>1320</v>
      </c>
      <c r="C1203" s="490" t="s">
        <v>1319</v>
      </c>
      <c r="D1203" s="484" t="s">
        <v>1321</v>
      </c>
      <c r="E1203" s="484" t="s">
        <v>1250</v>
      </c>
      <c r="F1203" s="526" t="s">
        <v>1329</v>
      </c>
      <c r="G1203" s="488" t="s">
        <v>147</v>
      </c>
      <c r="H1203" s="491">
        <v>1</v>
      </c>
      <c r="I1203" s="473">
        <v>4171</v>
      </c>
      <c r="J1203" s="473">
        <f>INT(M1203*$R$139)</f>
        <v>0</v>
      </c>
      <c r="K1203" s="473">
        <f>SUM(I1203:J1203)</f>
        <v>4171</v>
      </c>
      <c r="L1203" s="167">
        <v>4171</v>
      </c>
      <c r="M1203" s="167"/>
      <c r="N1203" s="167">
        <f>SUM(L1203,M1203)</f>
        <v>4171</v>
      </c>
      <c r="O1203" s="640">
        <f t="shared" si="206"/>
        <v>0</v>
      </c>
      <c r="P1203" s="405"/>
      <c r="Q1203" s="635">
        <f t="shared" si="207"/>
        <v>0</v>
      </c>
    </row>
    <row r="1204" spans="1:20" ht="60.75" hidden="1" customHeight="1">
      <c r="A1204" s="25"/>
      <c r="B1204" s="1287" t="s">
        <v>1276</v>
      </c>
      <c r="C1204" s="1287"/>
      <c r="D1204" s="1287"/>
      <c r="E1204" s="1287"/>
      <c r="F1204" s="1287"/>
      <c r="G1204" s="1287"/>
      <c r="H1204" s="1287"/>
      <c r="I1204" s="1287"/>
      <c r="J1204" s="1287"/>
      <c r="K1204" s="1287"/>
      <c r="L1204" s="338"/>
      <c r="M1204" s="338"/>
      <c r="N1204" s="338"/>
      <c r="O1204" s="640">
        <f t="shared" si="206"/>
        <v>0</v>
      </c>
      <c r="Q1204" s="635">
        <f t="shared" si="207"/>
        <v>0</v>
      </c>
    </row>
    <row r="1205" spans="1:20" ht="35.1" hidden="1" customHeight="1">
      <c r="A1205" s="25"/>
      <c r="B1205" s="25"/>
      <c r="C1205" s="1290"/>
      <c r="D1205" s="1290"/>
      <c r="E1205" s="1290"/>
      <c r="F1205" s="1290"/>
      <c r="G1205" s="1290"/>
      <c r="H1205" s="1290"/>
      <c r="I1205" s="1290"/>
      <c r="J1205" s="1290"/>
      <c r="K1205" s="1290"/>
      <c r="L1205" s="1290"/>
      <c r="M1205" s="1290"/>
      <c r="N1205" s="1290"/>
      <c r="O1205" s="640">
        <f t="shared" si="206"/>
        <v>0</v>
      </c>
      <c r="Q1205" s="635">
        <f t="shared" si="207"/>
        <v>0</v>
      </c>
    </row>
    <row r="1206" spans="1:20" ht="17.100000000000001" hidden="1" customHeight="1">
      <c r="A1206" s="614"/>
      <c r="B1206" s="614"/>
      <c r="C1206" s="115"/>
      <c r="D1206" s="115"/>
      <c r="E1206" s="115"/>
      <c r="N1206" s="614"/>
      <c r="O1206" s="640">
        <f t="shared" si="206"/>
        <v>0</v>
      </c>
      <c r="Q1206" s="635">
        <f t="shared" si="207"/>
        <v>0</v>
      </c>
    </row>
    <row r="1207" spans="1:20" s="17" customFormat="1" ht="17.100000000000001" hidden="1" customHeight="1">
      <c r="A1207" s="41"/>
      <c r="B1207" s="41"/>
      <c r="C1207" s="27"/>
      <c r="D1207" s="27"/>
      <c r="E1207" s="27"/>
      <c r="F1207" s="11"/>
      <c r="G1207" s="11"/>
      <c r="H1207" s="11"/>
      <c r="I1207" s="11"/>
      <c r="J1207" s="11"/>
      <c r="K1207" s="11"/>
      <c r="L1207" s="27"/>
      <c r="M1207" s="27"/>
      <c r="N1207" s="27"/>
      <c r="O1207" s="640">
        <f t="shared" si="206"/>
        <v>0</v>
      </c>
      <c r="P1207" s="28"/>
      <c r="Q1207" s="635">
        <f t="shared" si="207"/>
        <v>0</v>
      </c>
      <c r="R1207" s="28"/>
      <c r="S1207" s="28"/>
      <c r="T1207" s="29"/>
    </row>
    <row r="1208" spans="1:20" ht="21.95" hidden="1" customHeight="1" thickBot="1">
      <c r="I1208" s="22"/>
      <c r="J1208" s="22"/>
      <c r="O1208" s="640">
        <f t="shared" si="206"/>
        <v>0</v>
      </c>
      <c r="Q1208" s="635">
        <f t="shared" si="207"/>
        <v>0</v>
      </c>
    </row>
    <row r="1209" spans="1:20" ht="29.25" hidden="1" customHeight="1">
      <c r="C1209" s="1204" t="s">
        <v>51</v>
      </c>
      <c r="D1209" s="1204"/>
      <c r="E1209" s="1204"/>
      <c r="F1209" s="1204"/>
      <c r="H1209" s="1243" t="s">
        <v>11</v>
      </c>
      <c r="I1209" s="1244"/>
      <c r="J1209" s="1244"/>
      <c r="K1209" s="1245"/>
      <c r="L1209" s="337"/>
      <c r="M1209" s="337"/>
      <c r="N1209" s="337"/>
      <c r="O1209" s="640">
        <f t="shared" si="206"/>
        <v>0</v>
      </c>
      <c r="Q1209" s="635">
        <f t="shared" si="207"/>
        <v>0</v>
      </c>
    </row>
    <row r="1210" spans="1:20" ht="29.25" hidden="1" customHeight="1">
      <c r="C1210" s="1204" t="s">
        <v>52</v>
      </c>
      <c r="D1210" s="1204"/>
      <c r="E1210" s="1204"/>
      <c r="F1210" s="1204"/>
      <c r="G1210" s="44"/>
      <c r="H1210" s="1208" t="s">
        <v>21</v>
      </c>
      <c r="I1210" s="1209"/>
      <c r="J1210" s="1209"/>
      <c r="K1210" s="1210"/>
      <c r="L1210" s="336"/>
      <c r="M1210" s="336"/>
      <c r="N1210" s="336"/>
      <c r="O1210" s="640">
        <f t="shared" si="206"/>
        <v>0</v>
      </c>
      <c r="Q1210" s="635">
        <f t="shared" si="207"/>
        <v>0</v>
      </c>
    </row>
    <row r="1211" spans="1:20" ht="29.25" hidden="1" customHeight="1">
      <c r="C1211" s="1204" t="s">
        <v>50</v>
      </c>
      <c r="D1211" s="1204"/>
      <c r="E1211" s="1204"/>
      <c r="F1211" s="1204"/>
      <c r="G1211" s="44"/>
      <c r="H1211" s="1211"/>
      <c r="I1211" s="1212"/>
      <c r="J1211" s="1212"/>
      <c r="K1211" s="1213"/>
      <c r="L1211" s="336"/>
      <c r="M1211" s="336"/>
      <c r="N1211" s="336"/>
      <c r="O1211" s="640">
        <f t="shared" si="206"/>
        <v>0</v>
      </c>
      <c r="Q1211" s="635">
        <f t="shared" si="207"/>
        <v>0</v>
      </c>
    </row>
    <row r="1212" spans="1:20" ht="39.950000000000003" hidden="1" customHeight="1">
      <c r="C1212" s="1252"/>
      <c r="D1212" s="1252"/>
      <c r="E1212" s="1252"/>
      <c r="F1212" s="1252"/>
      <c r="G1212" s="44"/>
      <c r="H1212" s="1211" t="s">
        <v>22</v>
      </c>
      <c r="I1212" s="1212"/>
      <c r="J1212" s="1212"/>
      <c r="K1212" s="477">
        <f>K1245</f>
        <v>14317270</v>
      </c>
      <c r="L1212" s="336"/>
      <c r="M1212" s="336"/>
      <c r="N1212" s="86"/>
      <c r="O1212" s="640">
        <f t="shared" si="206"/>
        <v>0</v>
      </c>
      <c r="Q1212" s="635">
        <f t="shared" si="207"/>
        <v>0</v>
      </c>
    </row>
    <row r="1213" spans="1:20" ht="40.5" hidden="1" customHeight="1" thickBot="1">
      <c r="A1213" s="75"/>
      <c r="B1213" s="75"/>
      <c r="C1213" s="65">
        <v>1</v>
      </c>
      <c r="D1213" s="65"/>
      <c r="E1213" s="65"/>
      <c r="F1213" s="10"/>
      <c r="G1213" s="10"/>
      <c r="H1213" s="1283" t="s">
        <v>13</v>
      </c>
      <c r="I1213" s="1284"/>
      <c r="J1213" s="1284"/>
      <c r="K1213" s="1285"/>
      <c r="L1213" s="336"/>
      <c r="M1213" s="336"/>
      <c r="N1213" s="336"/>
      <c r="O1213" s="640">
        <f t="shared" si="206"/>
        <v>0</v>
      </c>
      <c r="Q1213" s="635">
        <f t="shared" si="207"/>
        <v>0</v>
      </c>
    </row>
    <row r="1214" spans="1:20" ht="30" hidden="1" customHeight="1">
      <c r="A1214" s="75"/>
      <c r="B1214" s="75"/>
      <c r="C1214" s="65"/>
      <c r="D1214" s="65"/>
      <c r="E1214" s="65"/>
      <c r="F1214" s="10"/>
      <c r="G1214" s="10"/>
      <c r="H1214" s="39"/>
      <c r="I1214" s="39"/>
      <c r="J1214" s="39"/>
      <c r="K1214" s="39"/>
      <c r="L1214" s="39"/>
      <c r="M1214" s="39"/>
      <c r="N1214" s="39"/>
      <c r="O1214" s="640">
        <f t="shared" si="206"/>
        <v>0</v>
      </c>
      <c r="Q1214" s="635">
        <f t="shared" si="207"/>
        <v>0</v>
      </c>
    </row>
    <row r="1215" spans="1:20" ht="39.950000000000003" hidden="1" customHeight="1">
      <c r="A1215" s="346"/>
      <c r="B1215" s="1226" t="s">
        <v>1037</v>
      </c>
      <c r="C1215" s="1226"/>
      <c r="D1215" s="1226"/>
      <c r="E1215" s="1226"/>
      <c r="F1215" s="1226"/>
      <c r="G1215" s="1226"/>
      <c r="H1215" s="1226"/>
      <c r="I1215" s="1226"/>
      <c r="J1215" s="1226"/>
      <c r="K1215" s="1226"/>
      <c r="L1215" s="346"/>
      <c r="M1215" s="346"/>
      <c r="N1215" s="346"/>
      <c r="O1215" s="640">
        <f t="shared" si="206"/>
        <v>0</v>
      </c>
      <c r="P1215" s="27"/>
      <c r="Q1215" s="635">
        <f t="shared" si="207"/>
        <v>0</v>
      </c>
      <c r="R1215" s="27"/>
      <c r="S1215" s="27"/>
      <c r="T1215" s="27"/>
    </row>
    <row r="1216" spans="1:20" ht="20.100000000000001" hidden="1" customHeight="1">
      <c r="A1216" s="46"/>
      <c r="B1216" s="46"/>
      <c r="C1216" s="46"/>
      <c r="D1216" s="46"/>
      <c r="E1216" s="46"/>
      <c r="F1216" s="46"/>
      <c r="G1216" s="46"/>
      <c r="H1216" s="46"/>
      <c r="I1216" s="46"/>
      <c r="J1216" s="46"/>
      <c r="K1216" s="46"/>
      <c r="L1216" s="46"/>
      <c r="M1216" s="46"/>
      <c r="N1216" s="46"/>
      <c r="O1216" s="640">
        <f t="shared" si="206"/>
        <v>0</v>
      </c>
      <c r="Q1216" s="635">
        <f t="shared" si="207"/>
        <v>0</v>
      </c>
    </row>
    <row r="1217" spans="1:20" s="500" customFormat="1" ht="90" hidden="1">
      <c r="A1217" s="496" t="s">
        <v>14</v>
      </c>
      <c r="B1217" s="497" t="s">
        <v>14</v>
      </c>
      <c r="C1217" s="497" t="s">
        <v>37</v>
      </c>
      <c r="D1217" s="497" t="s">
        <v>440</v>
      </c>
      <c r="E1217" s="497" t="s">
        <v>16</v>
      </c>
      <c r="F1217" s="497" t="s">
        <v>185</v>
      </c>
      <c r="G1217" s="497" t="s">
        <v>178</v>
      </c>
      <c r="H1217" s="497" t="s">
        <v>179</v>
      </c>
      <c r="I1217" s="497" t="s">
        <v>180</v>
      </c>
      <c r="J1217" s="497" t="s">
        <v>1275</v>
      </c>
      <c r="K1217" s="497" t="s">
        <v>200</v>
      </c>
      <c r="L1217" s="496" t="s">
        <v>180</v>
      </c>
      <c r="M1217" s="496" t="s">
        <v>181</v>
      </c>
      <c r="N1217" s="496" t="s">
        <v>200</v>
      </c>
      <c r="O1217" s="640" t="e">
        <f t="shared" si="206"/>
        <v>#VALUE!</v>
      </c>
      <c r="P1217" s="498"/>
      <c r="Q1217" s="635" t="e">
        <f t="shared" si="207"/>
        <v>#VALUE!</v>
      </c>
      <c r="R1217" s="498"/>
      <c r="S1217" s="498"/>
      <c r="T1217" s="499"/>
    </row>
    <row r="1218" spans="1:20" s="579" customFormat="1" ht="46.5" customHeight="1">
      <c r="A1218" s="572"/>
      <c r="B1218" s="572"/>
      <c r="C1218" s="573" t="s">
        <v>252</v>
      </c>
      <c r="D1218" s="574"/>
      <c r="E1218" s="574"/>
      <c r="F1218" s="575" t="s">
        <v>253</v>
      </c>
      <c r="G1218" s="576"/>
      <c r="H1218" s="576"/>
      <c r="I1218" s="577">
        <f>SUM(I1219,I1222,I1231,I1233,I1237,I1229)</f>
        <v>247300</v>
      </c>
      <c r="J1218" s="577">
        <f>SUM(J1219,J1222,J1231,J1233,J1237,J1229)</f>
        <v>17500</v>
      </c>
      <c r="K1218" s="577">
        <f>I1218+J1218</f>
        <v>264800</v>
      </c>
      <c r="L1218" s="578">
        <f>SUM(L1219,L1222,L1231,L1233,L1237,L1229)</f>
        <v>247300</v>
      </c>
      <c r="M1218" s="578">
        <f>SUM(M1219,M1222,M1231,M1233,M1237,M1229)</f>
        <v>17500</v>
      </c>
      <c r="N1218" s="578">
        <f>L1218+M1218</f>
        <v>264800</v>
      </c>
      <c r="O1218" s="644">
        <f t="shared" si="206"/>
        <v>7000</v>
      </c>
      <c r="Q1218" s="635">
        <f t="shared" si="207"/>
        <v>7000</v>
      </c>
    </row>
    <row r="1219" spans="1:20" s="510" customFormat="1" ht="72" hidden="1" customHeight="1">
      <c r="A1219" s="501"/>
      <c r="B1219" s="502"/>
      <c r="C1219" s="503" t="s">
        <v>292</v>
      </c>
      <c r="D1219" s="504"/>
      <c r="E1219" s="505"/>
      <c r="F1219" s="504"/>
      <c r="G1219" s="504"/>
      <c r="H1219" s="504"/>
      <c r="I1219" s="506">
        <f>I1220+I1221</f>
        <v>95518</v>
      </c>
      <c r="J1219" s="506">
        <f>J1220+J1221</f>
        <v>7500</v>
      </c>
      <c r="K1219" s="506">
        <f>I1219+J1219</f>
        <v>103018</v>
      </c>
      <c r="L1219" s="507">
        <f>L1220+L1221</f>
        <v>95518</v>
      </c>
      <c r="M1219" s="507">
        <f>M1220+M1221</f>
        <v>7500</v>
      </c>
      <c r="N1219" s="507">
        <f>L1219+M1219</f>
        <v>103018</v>
      </c>
      <c r="O1219" s="640">
        <f t="shared" si="206"/>
        <v>3000</v>
      </c>
      <c r="P1219" s="508"/>
      <c r="Q1219" s="635">
        <f t="shared" si="207"/>
        <v>3000</v>
      </c>
      <c r="R1219" s="508"/>
      <c r="S1219" s="508"/>
      <c r="T1219" s="509"/>
    </row>
    <row r="1220" spans="1:20" ht="54.75" hidden="1" customHeight="1">
      <c r="A1220" s="273" t="s">
        <v>668</v>
      </c>
      <c r="B1220" s="481" t="s">
        <v>1172</v>
      </c>
      <c r="C1220" s="490" t="s">
        <v>373</v>
      </c>
      <c r="D1220" s="483">
        <v>8100</v>
      </c>
      <c r="E1220" s="484">
        <v>108288</v>
      </c>
      <c r="F1220" s="526" t="s">
        <v>254</v>
      </c>
      <c r="G1220" s="488" t="s">
        <v>147</v>
      </c>
      <c r="H1220" s="491">
        <v>1</v>
      </c>
      <c r="I1220" s="473">
        <f>INT(L1220*$Q$139)</f>
        <v>95518</v>
      </c>
      <c r="J1220" s="473">
        <f>INT(M1220*$R$139)</f>
        <v>0</v>
      </c>
      <c r="K1220" s="473">
        <f>SUM(I1220:J1220)</f>
        <v>95518</v>
      </c>
      <c r="L1220" s="167">
        <f>80518+15000</f>
        <v>95518</v>
      </c>
      <c r="M1220" s="167"/>
      <c r="N1220" s="167">
        <f t="shared" ref="N1220:N1228" si="208">SUM(L1220,M1220)</f>
        <v>95518</v>
      </c>
      <c r="O1220" s="640">
        <f t="shared" si="206"/>
        <v>0</v>
      </c>
      <c r="P1220" s="405"/>
      <c r="Q1220" s="635">
        <f t="shared" si="207"/>
        <v>0</v>
      </c>
    </row>
    <row r="1221" spans="1:20" ht="54.75" customHeight="1">
      <c r="A1221" s="273"/>
      <c r="B1221" s="481" t="s">
        <v>1191</v>
      </c>
      <c r="C1221" s="490" t="s">
        <v>1223</v>
      </c>
      <c r="D1221" s="483">
        <v>8100</v>
      </c>
      <c r="E1221" s="484">
        <v>108288</v>
      </c>
      <c r="F1221" s="526" t="s">
        <v>254</v>
      </c>
      <c r="G1221" s="488" t="s">
        <v>910</v>
      </c>
      <c r="H1221" s="491">
        <v>1</v>
      </c>
      <c r="I1221" s="473">
        <f>INT(L1221*$Q$139)</f>
        <v>0</v>
      </c>
      <c r="J1221" s="473">
        <f>INT(M1221*$R$139)</f>
        <v>7500</v>
      </c>
      <c r="K1221" s="473">
        <f>SUM(I1221:J1221)</f>
        <v>7500</v>
      </c>
      <c r="L1221" s="167"/>
      <c r="M1221" s="167">
        <v>7500</v>
      </c>
      <c r="N1221" s="167">
        <f t="shared" si="208"/>
        <v>7500</v>
      </c>
      <c r="O1221" s="640">
        <f t="shared" si="206"/>
        <v>3000</v>
      </c>
      <c r="P1221" s="405"/>
      <c r="Q1221" s="635">
        <f t="shared" si="207"/>
        <v>3000</v>
      </c>
    </row>
    <row r="1222" spans="1:20" s="510" customFormat="1" ht="72" hidden="1" customHeight="1">
      <c r="A1222" s="501"/>
      <c r="B1222" s="502"/>
      <c r="C1222" s="503" t="s">
        <v>141</v>
      </c>
      <c r="D1222" s="504"/>
      <c r="E1222" s="505"/>
      <c r="F1222" s="504"/>
      <c r="G1222" s="504"/>
      <c r="H1222" s="504"/>
      <c r="I1222" s="506">
        <f>SUM(I1223:I1228)</f>
        <v>123782</v>
      </c>
      <c r="J1222" s="506">
        <f>SUM(J1223:J1228)</f>
        <v>0</v>
      </c>
      <c r="K1222" s="506">
        <f>I1222+J1222</f>
        <v>123782</v>
      </c>
      <c r="L1222" s="507">
        <f>SUM(L1223:L1228)</f>
        <v>123782</v>
      </c>
      <c r="M1222" s="507">
        <f>SUM(M1223:M1228)</f>
        <v>0</v>
      </c>
      <c r="N1222" s="507">
        <f>L1222+M1222</f>
        <v>123782</v>
      </c>
      <c r="O1222" s="640">
        <f t="shared" si="206"/>
        <v>0</v>
      </c>
      <c r="P1222" s="508"/>
      <c r="Q1222" s="635">
        <f t="shared" si="207"/>
        <v>0</v>
      </c>
      <c r="R1222" s="508"/>
      <c r="S1222" s="508"/>
      <c r="T1222" s="509"/>
    </row>
    <row r="1223" spans="1:20" ht="54.75" hidden="1" customHeight="1">
      <c r="A1223" s="273" t="s">
        <v>614</v>
      </c>
      <c r="B1223" s="481" t="s">
        <v>1173</v>
      </c>
      <c r="C1223" s="490" t="s">
        <v>317</v>
      </c>
      <c r="D1223" s="483">
        <v>8100</v>
      </c>
      <c r="E1223" s="484">
        <v>108288</v>
      </c>
      <c r="F1223" s="526" t="s">
        <v>254</v>
      </c>
      <c r="G1223" s="488" t="s">
        <v>79</v>
      </c>
      <c r="H1223" s="491">
        <v>1</v>
      </c>
      <c r="I1223" s="473">
        <f t="shared" ref="I1223:I1228" si="209">INT(L1223*$Q$139)</f>
        <v>97282</v>
      </c>
      <c r="J1223" s="473">
        <f t="shared" ref="J1223:J1228" si="210">INT(M1223*$R$139)</f>
        <v>0</v>
      </c>
      <c r="K1223" s="473">
        <f t="shared" ref="K1223:K1228" si="211">SUM(I1223:J1223)</f>
        <v>97282</v>
      </c>
      <c r="L1223" s="167">
        <v>97282</v>
      </c>
      <c r="M1223" s="167"/>
      <c r="N1223" s="167">
        <f t="shared" si="208"/>
        <v>97282</v>
      </c>
      <c r="O1223" s="640">
        <f t="shared" si="206"/>
        <v>0</v>
      </c>
      <c r="P1223" s="405"/>
      <c r="Q1223" s="635">
        <f t="shared" si="207"/>
        <v>0</v>
      </c>
    </row>
    <row r="1224" spans="1:20" ht="54.75" hidden="1" customHeight="1">
      <c r="A1224" s="273" t="s">
        <v>875</v>
      </c>
      <c r="B1224" s="481" t="s">
        <v>1194</v>
      </c>
      <c r="C1224" s="490" t="s">
        <v>804</v>
      </c>
      <c r="D1224" s="483">
        <v>8100</v>
      </c>
      <c r="E1224" s="484">
        <v>108288</v>
      </c>
      <c r="F1224" s="526" t="s">
        <v>254</v>
      </c>
      <c r="G1224" s="488" t="s">
        <v>79</v>
      </c>
      <c r="H1224" s="491">
        <v>1</v>
      </c>
      <c r="I1224" s="473">
        <f t="shared" si="209"/>
        <v>9000</v>
      </c>
      <c r="J1224" s="473">
        <f t="shared" si="210"/>
        <v>0</v>
      </c>
      <c r="K1224" s="473">
        <f t="shared" si="211"/>
        <v>9000</v>
      </c>
      <c r="L1224" s="167">
        <v>9000</v>
      </c>
      <c r="M1224" s="167"/>
      <c r="N1224" s="167">
        <f t="shared" si="208"/>
        <v>9000</v>
      </c>
      <c r="O1224" s="640">
        <f t="shared" si="206"/>
        <v>0</v>
      </c>
      <c r="P1224" s="405"/>
      <c r="Q1224" s="635">
        <f t="shared" si="207"/>
        <v>0</v>
      </c>
    </row>
    <row r="1225" spans="1:20" ht="54.75" hidden="1" customHeight="1">
      <c r="A1225" s="273" t="s">
        <v>876</v>
      </c>
      <c r="B1225" s="481" t="s">
        <v>1178</v>
      </c>
      <c r="C1225" s="490" t="s">
        <v>461</v>
      </c>
      <c r="D1225" s="483">
        <v>8100</v>
      </c>
      <c r="E1225" s="484">
        <v>108288</v>
      </c>
      <c r="F1225" s="526" t="s">
        <v>254</v>
      </c>
      <c r="G1225" s="488" t="s">
        <v>79</v>
      </c>
      <c r="H1225" s="491">
        <v>1</v>
      </c>
      <c r="I1225" s="473">
        <f t="shared" si="209"/>
        <v>5500</v>
      </c>
      <c r="J1225" s="473">
        <f t="shared" si="210"/>
        <v>0</v>
      </c>
      <c r="K1225" s="473">
        <f t="shared" si="211"/>
        <v>5500</v>
      </c>
      <c r="L1225" s="167">
        <v>5500</v>
      </c>
      <c r="M1225" s="167"/>
      <c r="N1225" s="167">
        <f t="shared" si="208"/>
        <v>5500</v>
      </c>
      <c r="O1225" s="640">
        <f t="shared" si="206"/>
        <v>0</v>
      </c>
      <c r="P1225" s="405"/>
      <c r="Q1225" s="635">
        <f t="shared" si="207"/>
        <v>0</v>
      </c>
    </row>
    <row r="1226" spans="1:20" ht="54.75" hidden="1" customHeight="1">
      <c r="A1226" s="273" t="s">
        <v>872</v>
      </c>
      <c r="B1226" s="481" t="s">
        <v>1179</v>
      </c>
      <c r="C1226" s="490" t="s">
        <v>805</v>
      </c>
      <c r="D1226" s="483">
        <v>8100</v>
      </c>
      <c r="E1226" s="484">
        <v>108288</v>
      </c>
      <c r="F1226" s="526" t="s">
        <v>254</v>
      </c>
      <c r="G1226" s="488" t="s">
        <v>79</v>
      </c>
      <c r="H1226" s="491">
        <v>1</v>
      </c>
      <c r="I1226" s="473">
        <f t="shared" si="209"/>
        <v>5000</v>
      </c>
      <c r="J1226" s="473">
        <f t="shared" si="210"/>
        <v>0</v>
      </c>
      <c r="K1226" s="473">
        <f t="shared" si="211"/>
        <v>5000</v>
      </c>
      <c r="L1226" s="167">
        <v>5000</v>
      </c>
      <c r="M1226" s="167"/>
      <c r="N1226" s="167">
        <f t="shared" si="208"/>
        <v>5000</v>
      </c>
      <c r="O1226" s="640">
        <f t="shared" si="206"/>
        <v>0</v>
      </c>
      <c r="P1226" s="405"/>
      <c r="Q1226" s="635">
        <f t="shared" si="207"/>
        <v>0</v>
      </c>
    </row>
    <row r="1227" spans="1:20" ht="54.75" hidden="1" customHeight="1">
      <c r="A1227" s="273" t="s">
        <v>874</v>
      </c>
      <c r="B1227" s="481" t="s">
        <v>1180</v>
      </c>
      <c r="C1227" s="490" t="s">
        <v>806</v>
      </c>
      <c r="D1227" s="483">
        <v>8100</v>
      </c>
      <c r="E1227" s="484">
        <v>108288</v>
      </c>
      <c r="F1227" s="526" t="s">
        <v>254</v>
      </c>
      <c r="G1227" s="488" t="s">
        <v>79</v>
      </c>
      <c r="H1227" s="491">
        <v>1</v>
      </c>
      <c r="I1227" s="473">
        <f t="shared" si="209"/>
        <v>5000</v>
      </c>
      <c r="J1227" s="473">
        <f t="shared" si="210"/>
        <v>0</v>
      </c>
      <c r="K1227" s="473">
        <f t="shared" si="211"/>
        <v>5000</v>
      </c>
      <c r="L1227" s="167">
        <v>5000</v>
      </c>
      <c r="M1227" s="167"/>
      <c r="N1227" s="167">
        <f t="shared" si="208"/>
        <v>5000</v>
      </c>
      <c r="O1227" s="640">
        <f t="shared" si="206"/>
        <v>0</v>
      </c>
      <c r="P1227" s="405"/>
      <c r="Q1227" s="635">
        <f t="shared" si="207"/>
        <v>0</v>
      </c>
      <c r="R1227" s="28">
        <f>247</f>
        <v>247</v>
      </c>
    </row>
    <row r="1228" spans="1:20" ht="54.75" hidden="1" customHeight="1">
      <c r="A1228" s="273" t="s">
        <v>873</v>
      </c>
      <c r="B1228" s="481" t="s">
        <v>1181</v>
      </c>
      <c r="C1228" s="490" t="s">
        <v>807</v>
      </c>
      <c r="D1228" s="483">
        <v>8100</v>
      </c>
      <c r="E1228" s="484">
        <v>108288</v>
      </c>
      <c r="F1228" s="526" t="s">
        <v>254</v>
      </c>
      <c r="G1228" s="488" t="s">
        <v>79</v>
      </c>
      <c r="H1228" s="491">
        <v>1</v>
      </c>
      <c r="I1228" s="473">
        <f t="shared" si="209"/>
        <v>2000</v>
      </c>
      <c r="J1228" s="473">
        <f t="shared" si="210"/>
        <v>0</v>
      </c>
      <c r="K1228" s="473">
        <f t="shared" si="211"/>
        <v>2000</v>
      </c>
      <c r="L1228" s="167">
        <v>2000</v>
      </c>
      <c r="M1228" s="167"/>
      <c r="N1228" s="167">
        <f t="shared" si="208"/>
        <v>2000</v>
      </c>
      <c r="O1228" s="640">
        <f t="shared" si="206"/>
        <v>0</v>
      </c>
      <c r="P1228" s="405"/>
      <c r="Q1228" s="635">
        <f t="shared" si="207"/>
        <v>0</v>
      </c>
    </row>
    <row r="1229" spans="1:20" s="510" customFormat="1" ht="72" hidden="1" customHeight="1">
      <c r="A1229" s="501"/>
      <c r="B1229" s="502"/>
      <c r="C1229" s="503" t="s">
        <v>310</v>
      </c>
      <c r="D1229" s="504"/>
      <c r="E1229" s="505"/>
      <c r="F1229" s="504"/>
      <c r="G1229" s="504"/>
      <c r="H1229" s="504"/>
      <c r="I1229" s="506">
        <f>I1230</f>
        <v>0</v>
      </c>
      <c r="J1229" s="506">
        <f>J1230</f>
        <v>3750</v>
      </c>
      <c r="K1229" s="506">
        <f>I1229+J1229</f>
        <v>3750</v>
      </c>
      <c r="L1229" s="507">
        <f>L1230</f>
        <v>0</v>
      </c>
      <c r="M1229" s="507">
        <f>M1230</f>
        <v>3750</v>
      </c>
      <c r="N1229" s="507">
        <f>L1229+M1229</f>
        <v>3750</v>
      </c>
      <c r="O1229" s="640">
        <f t="shared" si="206"/>
        <v>1500</v>
      </c>
      <c r="P1229" s="508"/>
      <c r="Q1229" s="635">
        <f t="shared" si="207"/>
        <v>1500</v>
      </c>
      <c r="R1229" s="508"/>
      <c r="S1229" s="508"/>
      <c r="T1229" s="509"/>
    </row>
    <row r="1230" spans="1:20" ht="54.75" customHeight="1">
      <c r="A1230" s="273"/>
      <c r="B1230" s="481" t="s">
        <v>1027</v>
      </c>
      <c r="C1230" s="490" t="s">
        <v>681</v>
      </c>
      <c r="D1230" s="483">
        <v>8100</v>
      </c>
      <c r="E1230" s="484">
        <v>108288</v>
      </c>
      <c r="F1230" s="526" t="s">
        <v>254</v>
      </c>
      <c r="G1230" s="488" t="s">
        <v>1075</v>
      </c>
      <c r="H1230" s="491">
        <v>1</v>
      </c>
      <c r="I1230" s="473">
        <f>INT(L1230*$Q$139)</f>
        <v>0</v>
      </c>
      <c r="J1230" s="473">
        <f>INT(M1230*$R$139)</f>
        <v>3750</v>
      </c>
      <c r="K1230" s="473">
        <f>SUM(I1230:J1230)</f>
        <v>3750</v>
      </c>
      <c r="L1230" s="167"/>
      <c r="M1230" s="167">
        <v>3750</v>
      </c>
      <c r="N1230" s="167">
        <f>L1230+M1230</f>
        <v>3750</v>
      </c>
      <c r="O1230" s="640">
        <f t="shared" si="206"/>
        <v>1500</v>
      </c>
      <c r="P1230" s="405"/>
      <c r="Q1230" s="635">
        <f t="shared" si="207"/>
        <v>1500</v>
      </c>
    </row>
    <row r="1231" spans="1:20" s="510" customFormat="1" ht="72" hidden="1" customHeight="1">
      <c r="A1231" s="501"/>
      <c r="B1231" s="502"/>
      <c r="C1231" s="503" t="s">
        <v>278</v>
      </c>
      <c r="D1231" s="504"/>
      <c r="E1231" s="505"/>
      <c r="F1231" s="504"/>
      <c r="G1231" s="504"/>
      <c r="H1231" s="504"/>
      <c r="I1231" s="506">
        <f>SUM(I1232)</f>
        <v>18000</v>
      </c>
      <c r="J1231" s="506">
        <f>SUM(J1232)</f>
        <v>0</v>
      </c>
      <c r="K1231" s="506">
        <f>I1231+J1231</f>
        <v>18000</v>
      </c>
      <c r="L1231" s="507">
        <f>SUM(L1232)</f>
        <v>18000</v>
      </c>
      <c r="M1231" s="507">
        <f>SUM(M1232)</f>
        <v>0</v>
      </c>
      <c r="N1231" s="507">
        <f>L1231+M1231</f>
        <v>18000</v>
      </c>
      <c r="O1231" s="640">
        <f t="shared" si="206"/>
        <v>0</v>
      </c>
      <c r="P1231" s="508"/>
      <c r="Q1231" s="635">
        <f t="shared" si="207"/>
        <v>0</v>
      </c>
      <c r="R1231" s="508"/>
      <c r="S1231" s="508"/>
      <c r="T1231" s="509"/>
    </row>
    <row r="1232" spans="1:20" ht="54.75" hidden="1" customHeight="1">
      <c r="A1232" s="273" t="s">
        <v>653</v>
      </c>
      <c r="B1232" s="481" t="s">
        <v>1031</v>
      </c>
      <c r="C1232" s="490" t="s">
        <v>319</v>
      </c>
      <c r="D1232" s="483">
        <v>8100</v>
      </c>
      <c r="E1232" s="484" t="s">
        <v>686</v>
      </c>
      <c r="F1232" s="526" t="s">
        <v>254</v>
      </c>
      <c r="G1232" s="488" t="s">
        <v>18</v>
      </c>
      <c r="H1232" s="489">
        <v>10</v>
      </c>
      <c r="I1232" s="473">
        <f>INT(L1232*$Q$139)</f>
        <v>18000</v>
      </c>
      <c r="J1232" s="473">
        <f>INT(M1232*$R$139)</f>
        <v>0</v>
      </c>
      <c r="K1232" s="473">
        <f>SUM(I1232:J1232)</f>
        <v>18000</v>
      </c>
      <c r="L1232" s="167">
        <v>18000</v>
      </c>
      <c r="M1232" s="167"/>
      <c r="N1232" s="167">
        <f>SUM(L1232,M1232)</f>
        <v>18000</v>
      </c>
      <c r="O1232" s="640">
        <f t="shared" si="206"/>
        <v>0</v>
      </c>
      <c r="P1232" s="405"/>
      <c r="Q1232" s="635">
        <f t="shared" si="207"/>
        <v>0</v>
      </c>
    </row>
    <row r="1233" spans="1:20" ht="47.25" hidden="1" customHeight="1">
      <c r="A1233" s="149"/>
      <c r="B1233" s="149"/>
      <c r="C1233" s="143" t="s">
        <v>274</v>
      </c>
      <c r="D1233" s="144"/>
      <c r="E1233" s="144"/>
      <c r="F1233" s="137"/>
      <c r="G1233" s="143"/>
      <c r="H1233" s="135"/>
      <c r="I1233" s="391">
        <f t="shared" ref="I1233:N1233" si="212">SUM(I1234:I1236)</f>
        <v>0</v>
      </c>
      <c r="J1233" s="391">
        <f t="shared" si="212"/>
        <v>0</v>
      </c>
      <c r="K1233" s="391">
        <f t="shared" si="212"/>
        <v>0</v>
      </c>
      <c r="L1233" s="391">
        <f t="shared" si="212"/>
        <v>0</v>
      </c>
      <c r="M1233" s="391">
        <f t="shared" si="212"/>
        <v>0</v>
      </c>
      <c r="N1233" s="391">
        <f t="shared" si="212"/>
        <v>0</v>
      </c>
      <c r="O1233" s="640">
        <f t="shared" si="206"/>
        <v>0</v>
      </c>
      <c r="Q1233" s="635">
        <f t="shared" si="207"/>
        <v>0</v>
      </c>
    </row>
    <row r="1234" spans="1:20" ht="47.25" hidden="1" customHeight="1">
      <c r="A1234" s="273" t="s">
        <v>835</v>
      </c>
      <c r="B1234" s="273" t="s">
        <v>835</v>
      </c>
      <c r="C1234" s="183" t="s">
        <v>681</v>
      </c>
      <c r="D1234" s="228">
        <v>112</v>
      </c>
      <c r="E1234" s="229" t="s">
        <v>795</v>
      </c>
      <c r="F1234" s="230" t="s">
        <v>254</v>
      </c>
      <c r="G1234" s="237" t="s">
        <v>725</v>
      </c>
      <c r="H1234" s="251">
        <v>1</v>
      </c>
      <c r="I1234" s="388">
        <f>INT(L1234*$Q$139)</f>
        <v>0</v>
      </c>
      <c r="J1234" s="388">
        <f>INT(M1234*$R$139)</f>
        <v>0</v>
      </c>
      <c r="K1234" s="388">
        <f>SUM(I1234:J1234)</f>
        <v>0</v>
      </c>
      <c r="L1234" s="167"/>
      <c r="M1234" s="167"/>
      <c r="N1234" s="167">
        <f>SUM(L1234,M1234)</f>
        <v>0</v>
      </c>
      <c r="O1234" s="640">
        <f t="shared" si="206"/>
        <v>0</v>
      </c>
      <c r="Q1234" s="635">
        <f t="shared" si="207"/>
        <v>0</v>
      </c>
    </row>
    <row r="1235" spans="1:20" ht="47.25" hidden="1" customHeight="1">
      <c r="A1235" s="273" t="s">
        <v>837</v>
      </c>
      <c r="B1235" s="273" t="s">
        <v>837</v>
      </c>
      <c r="C1235" s="241" t="s">
        <v>316</v>
      </c>
      <c r="D1235" s="228">
        <v>112</v>
      </c>
      <c r="E1235" s="229" t="s">
        <v>795</v>
      </c>
      <c r="F1235" s="230" t="s">
        <v>254</v>
      </c>
      <c r="G1235" s="242" t="s">
        <v>315</v>
      </c>
      <c r="H1235" s="251">
        <v>1</v>
      </c>
      <c r="I1235" s="388">
        <f>INT(L1235*$Q$139)</f>
        <v>0</v>
      </c>
      <c r="J1235" s="388">
        <f>INT(M1235*$R$139)</f>
        <v>0</v>
      </c>
      <c r="K1235" s="388">
        <f>SUM(I1235:J1235)</f>
        <v>0</v>
      </c>
      <c r="L1235" s="167"/>
      <c r="M1235" s="167"/>
      <c r="N1235" s="167">
        <f>SUM(L1235,M1235)</f>
        <v>0</v>
      </c>
      <c r="O1235" s="640">
        <f t="shared" si="206"/>
        <v>0</v>
      </c>
      <c r="Q1235" s="635">
        <f t="shared" si="207"/>
        <v>0</v>
      </c>
    </row>
    <row r="1236" spans="1:20" ht="47.25" hidden="1" customHeight="1">
      <c r="A1236" s="273" t="s">
        <v>839</v>
      </c>
      <c r="B1236" s="273" t="s">
        <v>839</v>
      </c>
      <c r="C1236" s="183" t="s">
        <v>827</v>
      </c>
      <c r="D1236" s="228">
        <v>112</v>
      </c>
      <c r="E1236" s="229" t="s">
        <v>795</v>
      </c>
      <c r="F1236" s="230" t="s">
        <v>254</v>
      </c>
      <c r="G1236" s="248" t="s">
        <v>159</v>
      </c>
      <c r="H1236" s="231">
        <v>1</v>
      </c>
      <c r="I1236" s="388">
        <f>INT(L1236*$Q$139)</f>
        <v>0</v>
      </c>
      <c r="J1236" s="388">
        <f>INT(M1236*$R$139)</f>
        <v>0</v>
      </c>
      <c r="K1236" s="388">
        <f>SUM(I1236:J1236)</f>
        <v>0</v>
      </c>
      <c r="L1236" s="167"/>
      <c r="M1236" s="168"/>
      <c r="N1236" s="167">
        <f>SUM(L1236,M1236)</f>
        <v>0</v>
      </c>
      <c r="O1236" s="640">
        <f t="shared" si="206"/>
        <v>0</v>
      </c>
      <c r="Q1236" s="635">
        <f t="shared" si="207"/>
        <v>0</v>
      </c>
    </row>
    <row r="1237" spans="1:20" s="510" customFormat="1" ht="72" hidden="1" customHeight="1">
      <c r="A1237" s="501"/>
      <c r="B1237" s="502"/>
      <c r="C1237" s="503" t="s">
        <v>312</v>
      </c>
      <c r="D1237" s="504"/>
      <c r="E1237" s="505"/>
      <c r="F1237" s="504"/>
      <c r="G1237" s="504"/>
      <c r="H1237" s="504"/>
      <c r="I1237" s="506">
        <f>SUM(I1238,I1239)</f>
        <v>10000</v>
      </c>
      <c r="J1237" s="506">
        <f>SUM(J1238,J1239)</f>
        <v>6250</v>
      </c>
      <c r="K1237" s="506">
        <f>I1237+J1237</f>
        <v>16250</v>
      </c>
      <c r="L1237" s="507">
        <f>SUM(L1238,L1239)</f>
        <v>10000</v>
      </c>
      <c r="M1237" s="507">
        <f>SUM(M1238,M1239)</f>
        <v>6250</v>
      </c>
      <c r="N1237" s="507">
        <f>L1237+M1237</f>
        <v>16250</v>
      </c>
      <c r="O1237" s="640">
        <f t="shared" si="206"/>
        <v>2500</v>
      </c>
      <c r="P1237" s="508"/>
      <c r="Q1237" s="635">
        <f t="shared" si="207"/>
        <v>2500</v>
      </c>
      <c r="R1237" s="508"/>
      <c r="S1237" s="508"/>
      <c r="T1237" s="509"/>
    </row>
    <row r="1238" spans="1:20" ht="54.75" customHeight="1">
      <c r="A1238" s="273" t="s">
        <v>631</v>
      </c>
      <c r="B1238" s="481" t="s">
        <v>1030</v>
      </c>
      <c r="C1238" s="490" t="s">
        <v>316</v>
      </c>
      <c r="D1238" s="483">
        <v>8100</v>
      </c>
      <c r="E1238" s="484">
        <v>108288</v>
      </c>
      <c r="F1238" s="526" t="s">
        <v>254</v>
      </c>
      <c r="G1238" s="488" t="s">
        <v>315</v>
      </c>
      <c r="H1238" s="489">
        <v>1</v>
      </c>
      <c r="I1238" s="473">
        <f>INT(L1238*$Q$139)</f>
        <v>10000</v>
      </c>
      <c r="J1238" s="473">
        <f>INT(M1238*$R$139)</f>
        <v>6250</v>
      </c>
      <c r="K1238" s="473">
        <f>SUM(I1238:J1238)</f>
        <v>16250</v>
      </c>
      <c r="L1238" s="167">
        <f>10000</f>
        <v>10000</v>
      </c>
      <c r="M1238" s="167">
        <v>6250</v>
      </c>
      <c r="N1238" s="167">
        <f>SUM(L1238,M1238)</f>
        <v>16250</v>
      </c>
      <c r="O1238" s="640">
        <f t="shared" si="206"/>
        <v>2500</v>
      </c>
      <c r="P1238" s="405"/>
      <c r="Q1238" s="635">
        <f t="shared" si="207"/>
        <v>2500</v>
      </c>
    </row>
    <row r="1239" spans="1:20" ht="54.75" hidden="1" customHeight="1">
      <c r="A1239" s="273"/>
      <c r="B1239" s="481" t="s">
        <v>1188</v>
      </c>
      <c r="C1239" s="490" t="s">
        <v>1187</v>
      </c>
      <c r="D1239" s="483">
        <v>112</v>
      </c>
      <c r="E1239" s="484">
        <v>108288</v>
      </c>
      <c r="F1239" s="526" t="s">
        <v>254</v>
      </c>
      <c r="G1239" s="488" t="s">
        <v>1075</v>
      </c>
      <c r="H1239" s="489"/>
      <c r="I1239" s="473">
        <f>INT(L1239*$Q$139)</f>
        <v>0</v>
      </c>
      <c r="J1239" s="473">
        <f>INT(M1239*$R$139)</f>
        <v>0</v>
      </c>
      <c r="K1239" s="473">
        <f>SUM(I1239:J1239)</f>
        <v>0</v>
      </c>
      <c r="L1239" s="167"/>
      <c r="M1239" s="167"/>
      <c r="N1239" s="167">
        <f>SUM(L1239,M1239)</f>
        <v>0</v>
      </c>
      <c r="O1239" s="640">
        <f t="shared" si="206"/>
        <v>0</v>
      </c>
      <c r="P1239" s="405"/>
      <c r="Q1239" s="635">
        <f t="shared" si="207"/>
        <v>0</v>
      </c>
    </row>
    <row r="1240" spans="1:20" ht="72" hidden="1" customHeight="1">
      <c r="A1240" s="527"/>
      <c r="B1240" s="1287" t="s">
        <v>1276</v>
      </c>
      <c r="C1240" s="1287"/>
      <c r="D1240" s="1287"/>
      <c r="E1240" s="1287"/>
      <c r="F1240" s="1287"/>
      <c r="G1240" s="1287"/>
      <c r="H1240" s="1287"/>
      <c r="I1240" s="1287"/>
      <c r="J1240" s="1287"/>
      <c r="K1240" s="1287"/>
      <c r="L1240" s="536"/>
      <c r="M1240" s="536"/>
      <c r="N1240" s="536"/>
      <c r="O1240" s="640">
        <f t="shared" si="206"/>
        <v>0</v>
      </c>
      <c r="P1240" s="405"/>
      <c r="Q1240" s="635">
        <f t="shared" si="207"/>
        <v>0</v>
      </c>
    </row>
    <row r="1241" spans="1:20" ht="21.95" hidden="1" customHeight="1" thickBot="1">
      <c r="A1241" s="615"/>
      <c r="B1241" s="615"/>
      <c r="C1241" s="615"/>
      <c r="D1241" s="615"/>
      <c r="E1241" s="615"/>
      <c r="F1241" s="615"/>
      <c r="G1241" s="116"/>
      <c r="H1241" s="116"/>
      <c r="I1241" s="116"/>
      <c r="J1241" s="116"/>
      <c r="K1241" s="116"/>
      <c r="L1241" s="615"/>
      <c r="M1241" s="615"/>
      <c r="N1241" s="615"/>
      <c r="O1241" s="640">
        <f t="shared" si="206"/>
        <v>0</v>
      </c>
      <c r="P1241" s="27"/>
      <c r="Q1241" s="635">
        <f t="shared" si="207"/>
        <v>0</v>
      </c>
      <c r="R1241" s="27"/>
      <c r="S1241" s="27"/>
      <c r="T1241" s="27"/>
    </row>
    <row r="1242" spans="1:20" ht="33.75" hidden="1" customHeight="1">
      <c r="C1242" s="1204" t="s">
        <v>51</v>
      </c>
      <c r="D1242" s="1204"/>
      <c r="E1242" s="1204"/>
      <c r="F1242" s="1204"/>
      <c r="H1242" s="1243" t="s">
        <v>11</v>
      </c>
      <c r="I1242" s="1244"/>
      <c r="J1242" s="1244"/>
      <c r="K1242" s="1245"/>
      <c r="L1242" s="339"/>
      <c r="M1242" s="339"/>
      <c r="N1242" s="339"/>
      <c r="O1242" s="640">
        <f t="shared" si="206"/>
        <v>0</v>
      </c>
      <c r="P1242" s="27"/>
      <c r="Q1242" s="635">
        <f t="shared" si="207"/>
        <v>0</v>
      </c>
      <c r="R1242" s="27"/>
      <c r="S1242" s="27"/>
      <c r="T1242" s="27"/>
    </row>
    <row r="1243" spans="1:20" ht="33.75" hidden="1" customHeight="1">
      <c r="C1243" s="1204" t="s">
        <v>52</v>
      </c>
      <c r="D1243" s="1204"/>
      <c r="E1243" s="1204"/>
      <c r="F1243" s="1204"/>
      <c r="G1243" s="44"/>
      <c r="H1243" s="1208" t="s">
        <v>21</v>
      </c>
      <c r="I1243" s="1209"/>
      <c r="J1243" s="1209"/>
      <c r="K1243" s="1210"/>
      <c r="L1243" s="314"/>
      <c r="M1243" s="314"/>
      <c r="N1243" s="314"/>
      <c r="O1243" s="640">
        <f t="shared" si="206"/>
        <v>0</v>
      </c>
      <c r="Q1243" s="635">
        <f t="shared" si="207"/>
        <v>0</v>
      </c>
    </row>
    <row r="1244" spans="1:20" s="17" customFormat="1" ht="33.75" hidden="1" customHeight="1">
      <c r="A1244" s="41"/>
      <c r="B1244" s="41"/>
      <c r="C1244" s="1204" t="s">
        <v>50</v>
      </c>
      <c r="D1244" s="1204"/>
      <c r="E1244" s="1204"/>
      <c r="F1244" s="1204"/>
      <c r="G1244" s="44"/>
      <c r="H1244" s="1211"/>
      <c r="I1244" s="1212"/>
      <c r="J1244" s="1212"/>
      <c r="K1244" s="1213"/>
      <c r="L1244" s="314"/>
      <c r="M1244" s="314"/>
      <c r="N1244" s="314"/>
      <c r="O1244" s="640">
        <f t="shared" si="206"/>
        <v>0</v>
      </c>
      <c r="P1244" s="28"/>
      <c r="Q1244" s="635">
        <f t="shared" si="207"/>
        <v>0</v>
      </c>
      <c r="R1244" s="28"/>
      <c r="S1244" s="28"/>
      <c r="T1244" s="29"/>
    </row>
    <row r="1245" spans="1:20" s="51" customFormat="1" ht="53.25" hidden="1" customHeight="1">
      <c r="A1245" s="41"/>
      <c r="B1245" s="41"/>
      <c r="C1245" s="1252"/>
      <c r="D1245" s="1252"/>
      <c r="E1245" s="1252"/>
      <c r="F1245" s="1252"/>
      <c r="G1245" s="44"/>
      <c r="H1245" s="1211" t="s">
        <v>22</v>
      </c>
      <c r="I1245" s="1212"/>
      <c r="J1245" s="1212"/>
      <c r="K1245" s="477">
        <f>K1321</f>
        <v>14317270</v>
      </c>
      <c r="L1245" s="314"/>
      <c r="M1245" s="314"/>
      <c r="N1245" s="340"/>
      <c r="O1245" s="640">
        <f t="shared" si="206"/>
        <v>0</v>
      </c>
      <c r="P1245" s="28"/>
      <c r="Q1245" s="635">
        <f t="shared" si="207"/>
        <v>0</v>
      </c>
      <c r="R1245" s="28"/>
      <c r="S1245" s="28"/>
      <c r="T1245" s="29"/>
    </row>
    <row r="1246" spans="1:20" s="51" customFormat="1" ht="48.75" hidden="1" customHeight="1" thickBot="1">
      <c r="A1246" s="75"/>
      <c r="B1246" s="75"/>
      <c r="C1246" s="65"/>
      <c r="D1246" s="65"/>
      <c r="E1246" s="65"/>
      <c r="F1246" s="10"/>
      <c r="G1246" s="10"/>
      <c r="H1246" s="1283" t="s">
        <v>13</v>
      </c>
      <c r="I1246" s="1284"/>
      <c r="J1246" s="1284"/>
      <c r="K1246" s="1285"/>
      <c r="L1246" s="314"/>
      <c r="M1246" s="314"/>
      <c r="N1246" s="314"/>
      <c r="O1246" s="640">
        <f t="shared" si="206"/>
        <v>0</v>
      </c>
      <c r="P1246" s="28"/>
      <c r="Q1246" s="635">
        <f t="shared" si="207"/>
        <v>0</v>
      </c>
      <c r="R1246" s="28"/>
      <c r="S1246" s="28"/>
      <c r="T1246" s="29"/>
    </row>
    <row r="1247" spans="1:20" ht="30" hidden="1" customHeight="1">
      <c r="A1247" s="615"/>
      <c r="B1247" s="615"/>
      <c r="C1247" s="615"/>
      <c r="D1247" s="615"/>
      <c r="E1247" s="615"/>
      <c r="F1247" s="615"/>
      <c r="G1247" s="116"/>
      <c r="H1247" s="116"/>
      <c r="I1247" s="116"/>
      <c r="J1247" s="116"/>
      <c r="K1247" s="116"/>
      <c r="L1247" s="615"/>
      <c r="M1247" s="615"/>
      <c r="N1247" s="615"/>
      <c r="O1247" s="640">
        <f t="shared" si="206"/>
        <v>0</v>
      </c>
      <c r="Q1247" s="635">
        <f t="shared" si="207"/>
        <v>0</v>
      </c>
    </row>
    <row r="1248" spans="1:20" ht="30" hidden="1" customHeight="1">
      <c r="A1248" s="615"/>
      <c r="B1248" s="615"/>
      <c r="C1248" s="615"/>
      <c r="D1248" s="615"/>
      <c r="E1248" s="615"/>
      <c r="F1248" s="615"/>
      <c r="G1248" s="116"/>
      <c r="H1248" s="116"/>
      <c r="I1248" s="116"/>
      <c r="J1248" s="116"/>
      <c r="K1248" s="116"/>
      <c r="L1248" s="615"/>
      <c r="M1248" s="615"/>
      <c r="N1248" s="615"/>
      <c r="O1248" s="640">
        <f t="shared" si="206"/>
        <v>0</v>
      </c>
      <c r="Q1248" s="635">
        <f t="shared" si="207"/>
        <v>0</v>
      </c>
    </row>
    <row r="1249" spans="1:20" ht="39.950000000000003" hidden="1" customHeight="1">
      <c r="A1249" s="346"/>
      <c r="B1249" s="1226" t="s">
        <v>1037</v>
      </c>
      <c r="C1249" s="1226"/>
      <c r="D1249" s="1226"/>
      <c r="E1249" s="1226"/>
      <c r="F1249" s="1226"/>
      <c r="G1249" s="1226"/>
      <c r="H1249" s="1226"/>
      <c r="I1249" s="1226"/>
      <c r="J1249" s="1226"/>
      <c r="K1249" s="1226"/>
      <c r="L1249" s="346"/>
      <c r="M1249" s="346"/>
      <c r="N1249" s="346"/>
      <c r="O1249" s="640">
        <f t="shared" si="206"/>
        <v>0</v>
      </c>
      <c r="P1249" s="27"/>
      <c r="Q1249" s="635">
        <f t="shared" si="207"/>
        <v>0</v>
      </c>
      <c r="R1249" s="27"/>
      <c r="S1249" s="27"/>
      <c r="T1249" s="27"/>
    </row>
    <row r="1250" spans="1:20" ht="39.950000000000003" hidden="1" customHeight="1">
      <c r="A1250" s="46"/>
      <c r="B1250" s="46"/>
      <c r="C1250" s="46"/>
      <c r="D1250" s="46"/>
      <c r="E1250" s="46"/>
      <c r="F1250" s="46"/>
      <c r="G1250" s="46"/>
      <c r="H1250" s="46"/>
      <c r="I1250" s="46"/>
      <c r="J1250" s="46"/>
      <c r="K1250" s="46"/>
      <c r="L1250" s="46"/>
      <c r="M1250" s="46"/>
      <c r="N1250" s="46"/>
      <c r="O1250" s="640">
        <f t="shared" si="206"/>
        <v>0</v>
      </c>
      <c r="Q1250" s="635">
        <f t="shared" si="207"/>
        <v>0</v>
      </c>
    </row>
    <row r="1251" spans="1:20" s="500" customFormat="1" ht="90" hidden="1">
      <c r="A1251" s="496" t="s">
        <v>14</v>
      </c>
      <c r="B1251" s="497" t="s">
        <v>14</v>
      </c>
      <c r="C1251" s="497" t="s">
        <v>37</v>
      </c>
      <c r="D1251" s="497" t="s">
        <v>440</v>
      </c>
      <c r="E1251" s="497" t="s">
        <v>16</v>
      </c>
      <c r="F1251" s="497" t="s">
        <v>185</v>
      </c>
      <c r="G1251" s="497" t="s">
        <v>178</v>
      </c>
      <c r="H1251" s="497" t="s">
        <v>179</v>
      </c>
      <c r="I1251" s="497" t="s">
        <v>180</v>
      </c>
      <c r="J1251" s="497" t="s">
        <v>1275</v>
      </c>
      <c r="K1251" s="497" t="s">
        <v>200</v>
      </c>
      <c r="L1251" s="496" t="s">
        <v>180</v>
      </c>
      <c r="M1251" s="496" t="s">
        <v>181</v>
      </c>
      <c r="N1251" s="496" t="s">
        <v>200</v>
      </c>
      <c r="O1251" s="640" t="e">
        <f t="shared" si="206"/>
        <v>#VALUE!</v>
      </c>
      <c r="P1251" s="498"/>
      <c r="Q1251" s="635" t="e">
        <f t="shared" si="207"/>
        <v>#VALUE!</v>
      </c>
      <c r="R1251" s="498"/>
      <c r="S1251" s="498"/>
      <c r="T1251" s="499"/>
    </row>
    <row r="1252" spans="1:20" s="579" customFormat="1" ht="46.5" customHeight="1">
      <c r="A1252" s="572"/>
      <c r="B1252" s="572"/>
      <c r="C1252" s="573" t="s">
        <v>334</v>
      </c>
      <c r="D1252" s="574"/>
      <c r="E1252" s="574"/>
      <c r="F1252" s="575" t="s">
        <v>120</v>
      </c>
      <c r="G1252" s="576"/>
      <c r="H1252" s="576"/>
      <c r="I1252" s="577">
        <f>SUM(I1255,I1257,I1260,I1262,I1266,I1253)</f>
        <v>116451</v>
      </c>
      <c r="J1252" s="577">
        <f>SUM(J1255,J1257,J1260,J1262,J1266,J1253)</f>
        <v>17968</v>
      </c>
      <c r="K1252" s="577">
        <f>I1252+J1252</f>
        <v>134419</v>
      </c>
      <c r="L1252" s="578">
        <f>SUM(L1255,L1257,L1260,L1262,L1266,L1253)</f>
        <v>116451</v>
      </c>
      <c r="M1252" s="578">
        <f>SUM(M1255,M1257,M1260,M1262,M1266,M1253)</f>
        <v>17968</v>
      </c>
      <c r="N1252" s="578">
        <f>L1252+M1252</f>
        <v>134419</v>
      </c>
      <c r="O1252" s="644">
        <f t="shared" si="206"/>
        <v>7187.2000000000007</v>
      </c>
      <c r="Q1252" s="635">
        <f t="shared" si="207"/>
        <v>7187.2</v>
      </c>
    </row>
    <row r="1253" spans="1:20" s="510" customFormat="1" ht="72" hidden="1" customHeight="1">
      <c r="A1253" s="501"/>
      <c r="B1253" s="502"/>
      <c r="C1253" s="503" t="s">
        <v>292</v>
      </c>
      <c r="D1253" s="504"/>
      <c r="E1253" s="505"/>
      <c r="F1253" s="504"/>
      <c r="G1253" s="504"/>
      <c r="H1253" s="504"/>
      <c r="I1253" s="506">
        <f>I1254</f>
        <v>0</v>
      </c>
      <c r="J1253" s="506">
        <f>J1254</f>
        <v>2500</v>
      </c>
      <c r="K1253" s="506">
        <f>I1253+J1253</f>
        <v>2500</v>
      </c>
      <c r="L1253" s="507">
        <f>L1254</f>
        <v>0</v>
      </c>
      <c r="M1253" s="507">
        <f>M1254</f>
        <v>2500</v>
      </c>
      <c r="N1253" s="507">
        <f>L1253+M1253</f>
        <v>2500</v>
      </c>
      <c r="O1253" s="640">
        <f t="shared" si="206"/>
        <v>1000</v>
      </c>
      <c r="P1253" s="508"/>
      <c r="Q1253" s="635">
        <f t="shared" si="207"/>
        <v>1000</v>
      </c>
      <c r="R1253" s="508"/>
      <c r="S1253" s="508"/>
      <c r="T1253" s="509"/>
    </row>
    <row r="1254" spans="1:20" ht="54.75" customHeight="1">
      <c r="A1254" s="273"/>
      <c r="B1254" s="481" t="s">
        <v>1191</v>
      </c>
      <c r="C1254" s="490" t="s">
        <v>1222</v>
      </c>
      <c r="D1254" s="483">
        <v>8100</v>
      </c>
      <c r="E1254" s="484">
        <v>108288</v>
      </c>
      <c r="F1254" s="526" t="s">
        <v>335</v>
      </c>
      <c r="G1254" s="488" t="s">
        <v>910</v>
      </c>
      <c r="H1254" s="491">
        <v>1</v>
      </c>
      <c r="I1254" s="473">
        <f>INT(L1254*$Q$139)</f>
        <v>0</v>
      </c>
      <c r="J1254" s="473">
        <f>INT(M1254*$R$139)</f>
        <v>2500</v>
      </c>
      <c r="K1254" s="473">
        <f>SUM(I1254:J1254)</f>
        <v>2500</v>
      </c>
      <c r="L1254" s="167"/>
      <c r="M1254" s="167">
        <v>2500</v>
      </c>
      <c r="N1254" s="167">
        <f>SUM(L1254,M1254)</f>
        <v>2500</v>
      </c>
      <c r="O1254" s="640">
        <f t="shared" si="206"/>
        <v>1000</v>
      </c>
      <c r="P1254" s="405"/>
      <c r="Q1254" s="635">
        <f t="shared" si="207"/>
        <v>1000</v>
      </c>
    </row>
    <row r="1255" spans="1:20" s="510" customFormat="1" ht="72" hidden="1" customHeight="1">
      <c r="A1255" s="501"/>
      <c r="B1255" s="502"/>
      <c r="C1255" s="503" t="s">
        <v>141</v>
      </c>
      <c r="D1255" s="504"/>
      <c r="E1255" s="505"/>
      <c r="F1255" s="504"/>
      <c r="G1255" s="504"/>
      <c r="H1255" s="504"/>
      <c r="I1255" s="506">
        <f>SUM(I1256)</f>
        <v>97951</v>
      </c>
      <c r="J1255" s="506">
        <f>SUM(J1256)</f>
        <v>0</v>
      </c>
      <c r="K1255" s="506">
        <f>I1255+J1255</f>
        <v>97951</v>
      </c>
      <c r="L1255" s="507">
        <f>SUM(L1256)</f>
        <v>97951</v>
      </c>
      <c r="M1255" s="507">
        <f>SUM(M1256)</f>
        <v>0</v>
      </c>
      <c r="N1255" s="507">
        <f>L1255+M1255</f>
        <v>97951</v>
      </c>
      <c r="O1255" s="640">
        <f t="shared" si="206"/>
        <v>0</v>
      </c>
      <c r="P1255" s="508"/>
      <c r="Q1255" s="635">
        <f t="shared" si="207"/>
        <v>0</v>
      </c>
      <c r="R1255" s="508"/>
      <c r="S1255" s="508"/>
      <c r="T1255" s="509"/>
    </row>
    <row r="1256" spans="1:20" ht="54.75" hidden="1" customHeight="1">
      <c r="A1256" s="273" t="s">
        <v>614</v>
      </c>
      <c r="B1256" s="481" t="s">
        <v>1173</v>
      </c>
      <c r="C1256" s="490" t="s">
        <v>317</v>
      </c>
      <c r="D1256" s="483">
        <v>8100</v>
      </c>
      <c r="E1256" s="484">
        <v>108288</v>
      </c>
      <c r="F1256" s="526" t="s">
        <v>335</v>
      </c>
      <c r="G1256" s="488" t="s">
        <v>143</v>
      </c>
      <c r="H1256" s="489">
        <v>241</v>
      </c>
      <c r="I1256" s="473">
        <f>INT(L1256*$Q$139)</f>
        <v>97951</v>
      </c>
      <c r="J1256" s="473">
        <f>INT(M1256*$R$139)</f>
        <v>0</v>
      </c>
      <c r="K1256" s="473">
        <f>SUM(I1256:J1256)</f>
        <v>97951</v>
      </c>
      <c r="L1256" s="167">
        <v>97951</v>
      </c>
      <c r="M1256" s="167"/>
      <c r="N1256" s="167">
        <f>SUM(L1256,M1256)</f>
        <v>97951</v>
      </c>
      <c r="O1256" s="640">
        <f t="shared" ref="O1256:O1319" si="213">(J1256/100)*40</f>
        <v>0</v>
      </c>
      <c r="P1256" s="405"/>
      <c r="Q1256" s="635">
        <f t="shared" ref="Q1256:Q1319" si="214">($Q$932*J1256)/100</f>
        <v>0</v>
      </c>
    </row>
    <row r="1257" spans="1:20" s="510" customFormat="1" ht="72" hidden="1" customHeight="1">
      <c r="A1257" s="501"/>
      <c r="B1257" s="502"/>
      <c r="C1257" s="503" t="s">
        <v>310</v>
      </c>
      <c r="D1257" s="504"/>
      <c r="E1257" s="505"/>
      <c r="F1257" s="504"/>
      <c r="G1257" s="504"/>
      <c r="H1257" s="504"/>
      <c r="I1257" s="506">
        <f>SUM(I1258,I1259)</f>
        <v>5000</v>
      </c>
      <c r="J1257" s="506">
        <f>SUM(J1258,J1259)</f>
        <v>9377</v>
      </c>
      <c r="K1257" s="506">
        <f>I1257+J1257</f>
        <v>14377</v>
      </c>
      <c r="L1257" s="507">
        <f>SUM(L1258,L1259)</f>
        <v>5000</v>
      </c>
      <c r="M1257" s="507">
        <f>SUM(M1258,M1259)</f>
        <v>9377</v>
      </c>
      <c r="N1257" s="507">
        <f>L1257+M1257</f>
        <v>14377</v>
      </c>
      <c r="O1257" s="640">
        <f t="shared" si="213"/>
        <v>3750.7999999999997</v>
      </c>
      <c r="P1257" s="508"/>
      <c r="Q1257" s="635">
        <f t="shared" si="214"/>
        <v>3750.8</v>
      </c>
      <c r="R1257" s="508"/>
      <c r="S1257" s="508"/>
      <c r="T1257" s="509"/>
    </row>
    <row r="1258" spans="1:20" ht="54.75" customHeight="1">
      <c r="A1258" s="273" t="s">
        <v>616</v>
      </c>
      <c r="B1258" s="481" t="s">
        <v>1027</v>
      </c>
      <c r="C1258" s="490" t="s">
        <v>681</v>
      </c>
      <c r="D1258" s="483">
        <v>8100</v>
      </c>
      <c r="E1258" s="484">
        <v>108288</v>
      </c>
      <c r="F1258" s="526" t="s">
        <v>335</v>
      </c>
      <c r="G1258" s="488" t="s">
        <v>725</v>
      </c>
      <c r="H1258" s="489">
        <v>1</v>
      </c>
      <c r="I1258" s="473">
        <f>INT(L1258*$Q$139)</f>
        <v>5000</v>
      </c>
      <c r="J1258" s="473">
        <f>INT(M1258*$R$139)</f>
        <v>9377</v>
      </c>
      <c r="K1258" s="473">
        <f>SUM(I1258:J1258)</f>
        <v>14377</v>
      </c>
      <c r="L1258" s="167">
        <v>5000</v>
      </c>
      <c r="M1258" s="167">
        <v>9377</v>
      </c>
      <c r="N1258" s="167">
        <f>SUM(L1258,M1258)</f>
        <v>14377</v>
      </c>
      <c r="O1258" s="640">
        <f t="shared" si="213"/>
        <v>3750.7999999999997</v>
      </c>
      <c r="P1258" s="405"/>
      <c r="Q1258" s="635">
        <f t="shared" si="214"/>
        <v>3750.8</v>
      </c>
    </row>
    <row r="1259" spans="1:20" ht="54.75" hidden="1" customHeight="1">
      <c r="A1259" s="273"/>
      <c r="B1259" s="481" t="s">
        <v>1186</v>
      </c>
      <c r="C1259" s="490" t="s">
        <v>1074</v>
      </c>
      <c r="D1259" s="483">
        <v>112</v>
      </c>
      <c r="E1259" s="484">
        <v>108288</v>
      </c>
      <c r="F1259" s="526" t="s">
        <v>335</v>
      </c>
      <c r="G1259" s="488" t="s">
        <v>1075</v>
      </c>
      <c r="H1259" s="489"/>
      <c r="I1259" s="473">
        <f>INT(L1259*$Q$139)</f>
        <v>0</v>
      </c>
      <c r="J1259" s="473">
        <f>INT(M1259*$R$139)</f>
        <v>0</v>
      </c>
      <c r="K1259" s="473">
        <f>SUM(I1259:J1259)</f>
        <v>0</v>
      </c>
      <c r="L1259" s="167"/>
      <c r="M1259" s="167"/>
      <c r="N1259" s="167">
        <f>L1259+M1259</f>
        <v>0</v>
      </c>
      <c r="O1259" s="640">
        <f t="shared" si="213"/>
        <v>0</v>
      </c>
      <c r="P1259" s="405"/>
      <c r="Q1259" s="635">
        <f t="shared" si="214"/>
        <v>0</v>
      </c>
    </row>
    <row r="1260" spans="1:20" s="510" customFormat="1" ht="72" hidden="1" customHeight="1">
      <c r="A1260" s="501"/>
      <c r="B1260" s="502"/>
      <c r="C1260" s="503" t="s">
        <v>397</v>
      </c>
      <c r="D1260" s="504"/>
      <c r="E1260" s="505"/>
      <c r="F1260" s="504"/>
      <c r="G1260" s="504"/>
      <c r="H1260" s="504"/>
      <c r="I1260" s="506">
        <f>I1261</f>
        <v>6000</v>
      </c>
      <c r="J1260" s="506">
        <f>J1261</f>
        <v>0</v>
      </c>
      <c r="K1260" s="506">
        <f>I1260+J1260</f>
        <v>6000</v>
      </c>
      <c r="L1260" s="507">
        <f>L1261</f>
        <v>6000</v>
      </c>
      <c r="M1260" s="507">
        <f>M1261</f>
        <v>0</v>
      </c>
      <c r="N1260" s="507">
        <f>L1260+M1260</f>
        <v>6000</v>
      </c>
      <c r="O1260" s="640">
        <f t="shared" si="213"/>
        <v>0</v>
      </c>
      <c r="P1260" s="508"/>
      <c r="Q1260" s="635">
        <f t="shared" si="214"/>
        <v>0</v>
      </c>
      <c r="R1260" s="508"/>
      <c r="S1260" s="508"/>
      <c r="T1260" s="509"/>
    </row>
    <row r="1261" spans="1:20" ht="54.75" hidden="1" customHeight="1">
      <c r="A1261" s="273" t="s">
        <v>653</v>
      </c>
      <c r="B1261" s="481" t="s">
        <v>1031</v>
      </c>
      <c r="C1261" s="490" t="s">
        <v>319</v>
      </c>
      <c r="D1261" s="483">
        <v>8100</v>
      </c>
      <c r="E1261" s="484" t="s">
        <v>686</v>
      </c>
      <c r="F1261" s="526" t="s">
        <v>335</v>
      </c>
      <c r="G1261" s="488" t="s">
        <v>18</v>
      </c>
      <c r="H1261" s="489">
        <v>3</v>
      </c>
      <c r="I1261" s="473">
        <f>INT(L1261*$Q$139)</f>
        <v>6000</v>
      </c>
      <c r="J1261" s="473">
        <f>INT(M1261*$R$139)</f>
        <v>0</v>
      </c>
      <c r="K1261" s="473">
        <f>SUM(I1261:J1261)</f>
        <v>6000</v>
      </c>
      <c r="L1261" s="167">
        <v>6000</v>
      </c>
      <c r="M1261" s="167"/>
      <c r="N1261" s="167">
        <f>L1261</f>
        <v>6000</v>
      </c>
      <c r="O1261" s="640">
        <f t="shared" si="213"/>
        <v>0</v>
      </c>
      <c r="P1261" s="405"/>
      <c r="Q1261" s="635">
        <f t="shared" si="214"/>
        <v>0</v>
      </c>
    </row>
    <row r="1262" spans="1:20" ht="41.25" hidden="1" customHeight="1">
      <c r="A1262" s="149"/>
      <c r="B1262" s="149"/>
      <c r="C1262" s="143" t="s">
        <v>274</v>
      </c>
      <c r="D1262" s="144"/>
      <c r="E1262" s="144"/>
      <c r="F1262" s="137"/>
      <c r="G1262" s="143"/>
      <c r="H1262" s="135"/>
      <c r="I1262" s="391">
        <f t="shared" ref="I1262:N1262" si="215">SUM(I1263:I1265)</f>
        <v>0</v>
      </c>
      <c r="J1262" s="391">
        <f t="shared" si="215"/>
        <v>0</v>
      </c>
      <c r="K1262" s="391">
        <f t="shared" si="215"/>
        <v>0</v>
      </c>
      <c r="L1262" s="391">
        <f t="shared" si="215"/>
        <v>0</v>
      </c>
      <c r="M1262" s="391">
        <f t="shared" si="215"/>
        <v>0</v>
      </c>
      <c r="N1262" s="391">
        <f t="shared" si="215"/>
        <v>0</v>
      </c>
      <c r="O1262" s="640">
        <f t="shared" si="213"/>
        <v>0</v>
      </c>
      <c r="Q1262" s="635">
        <f t="shared" si="214"/>
        <v>0</v>
      </c>
    </row>
    <row r="1263" spans="1:20" ht="48.75" hidden="1" customHeight="1">
      <c r="A1263" s="273" t="s">
        <v>835</v>
      </c>
      <c r="B1263" s="273" t="s">
        <v>835</v>
      </c>
      <c r="C1263" s="183" t="s">
        <v>681</v>
      </c>
      <c r="D1263" s="228">
        <v>112</v>
      </c>
      <c r="E1263" s="229" t="s">
        <v>795</v>
      </c>
      <c r="F1263" s="230" t="s">
        <v>335</v>
      </c>
      <c r="G1263" s="237" t="s">
        <v>725</v>
      </c>
      <c r="H1263" s="251">
        <v>1</v>
      </c>
      <c r="I1263" s="388">
        <f>INT(L1263*$Q$139)</f>
        <v>0</v>
      </c>
      <c r="J1263" s="388">
        <f>INT(M1263*$R$139)</f>
        <v>0</v>
      </c>
      <c r="K1263" s="388">
        <f>SUM(I1263:J1263)</f>
        <v>0</v>
      </c>
      <c r="L1263" s="167"/>
      <c r="M1263" s="168"/>
      <c r="N1263" s="167">
        <f>SUM(L1263,M1263)</f>
        <v>0</v>
      </c>
      <c r="O1263" s="640">
        <f t="shared" si="213"/>
        <v>0</v>
      </c>
      <c r="Q1263" s="635">
        <f t="shared" si="214"/>
        <v>0</v>
      </c>
    </row>
    <row r="1264" spans="1:20" ht="48.75" hidden="1" customHeight="1">
      <c r="A1264" s="273" t="s">
        <v>837</v>
      </c>
      <c r="B1264" s="273" t="s">
        <v>837</v>
      </c>
      <c r="C1264" s="241" t="s">
        <v>316</v>
      </c>
      <c r="D1264" s="228">
        <v>112</v>
      </c>
      <c r="E1264" s="229" t="s">
        <v>795</v>
      </c>
      <c r="F1264" s="230" t="s">
        <v>335</v>
      </c>
      <c r="G1264" s="242" t="s">
        <v>315</v>
      </c>
      <c r="H1264" s="251">
        <v>1</v>
      </c>
      <c r="I1264" s="388">
        <f>INT(L1264*$Q$139)</f>
        <v>0</v>
      </c>
      <c r="J1264" s="388">
        <f>INT(M1264*$R$139)</f>
        <v>0</v>
      </c>
      <c r="K1264" s="388">
        <f>SUM(I1264:J1264)</f>
        <v>0</v>
      </c>
      <c r="L1264" s="167"/>
      <c r="M1264" s="167"/>
      <c r="N1264" s="167">
        <f>SUM(L1264,M1264)</f>
        <v>0</v>
      </c>
      <c r="O1264" s="640">
        <f t="shared" si="213"/>
        <v>0</v>
      </c>
      <c r="Q1264" s="635">
        <f t="shared" si="214"/>
        <v>0</v>
      </c>
    </row>
    <row r="1265" spans="1:20" ht="48.75" hidden="1" customHeight="1">
      <c r="A1265" s="273" t="s">
        <v>839</v>
      </c>
      <c r="B1265" s="273" t="s">
        <v>839</v>
      </c>
      <c r="C1265" s="183" t="s">
        <v>826</v>
      </c>
      <c r="D1265" s="228">
        <v>112</v>
      </c>
      <c r="E1265" s="229" t="s">
        <v>795</v>
      </c>
      <c r="F1265" s="230" t="s">
        <v>335</v>
      </c>
      <c r="G1265" s="248" t="s">
        <v>159</v>
      </c>
      <c r="H1265" s="231">
        <v>1</v>
      </c>
      <c r="I1265" s="388">
        <f>INT(L1265*$Q$139)</f>
        <v>0</v>
      </c>
      <c r="J1265" s="388">
        <f>INT(M1265*$R$139)</f>
        <v>0</v>
      </c>
      <c r="K1265" s="388">
        <f>SUM(I1265:J1265)</f>
        <v>0</v>
      </c>
      <c r="L1265" s="167"/>
      <c r="M1265" s="167"/>
      <c r="N1265" s="167">
        <f>SUM(L1265,M1265)</f>
        <v>0</v>
      </c>
      <c r="O1265" s="640">
        <f t="shared" si="213"/>
        <v>0</v>
      </c>
      <c r="Q1265" s="635">
        <f t="shared" si="214"/>
        <v>0</v>
      </c>
    </row>
    <row r="1266" spans="1:20" s="510" customFormat="1" ht="72" hidden="1" customHeight="1">
      <c r="A1266" s="501"/>
      <c r="B1266" s="502"/>
      <c r="C1266" s="503" t="s">
        <v>312</v>
      </c>
      <c r="D1266" s="504"/>
      <c r="E1266" s="505"/>
      <c r="F1266" s="504"/>
      <c r="G1266" s="504"/>
      <c r="H1266" s="504"/>
      <c r="I1266" s="506">
        <f>SUM(I1267,I1268)</f>
        <v>7500</v>
      </c>
      <c r="J1266" s="506">
        <f>SUM(J1267,J1268)</f>
        <v>6091</v>
      </c>
      <c r="K1266" s="506">
        <f>I1266+J1266</f>
        <v>13591</v>
      </c>
      <c r="L1266" s="507">
        <f>SUM(L1267,L1268)</f>
        <v>7500</v>
      </c>
      <c r="M1266" s="507">
        <f>SUM(M1267,M1268)</f>
        <v>6091</v>
      </c>
      <c r="N1266" s="507">
        <f>L1266+M1266</f>
        <v>13591</v>
      </c>
      <c r="O1266" s="640">
        <f t="shared" si="213"/>
        <v>2436.3999999999996</v>
      </c>
      <c r="P1266" s="508"/>
      <c r="Q1266" s="635">
        <f t="shared" si="214"/>
        <v>2436.4</v>
      </c>
      <c r="R1266" s="508"/>
      <c r="S1266" s="508"/>
      <c r="T1266" s="509"/>
    </row>
    <row r="1267" spans="1:20" ht="54.75" customHeight="1">
      <c r="A1267" s="273" t="s">
        <v>631</v>
      </c>
      <c r="B1267" s="481" t="s">
        <v>1030</v>
      </c>
      <c r="C1267" s="490" t="s">
        <v>683</v>
      </c>
      <c r="D1267" s="483">
        <v>8100</v>
      </c>
      <c r="E1267" s="484">
        <v>108288</v>
      </c>
      <c r="F1267" s="526" t="s">
        <v>335</v>
      </c>
      <c r="G1267" s="488" t="s">
        <v>416</v>
      </c>
      <c r="H1267" s="489">
        <v>1</v>
      </c>
      <c r="I1267" s="473">
        <f>INT(L1267*$Q$139)</f>
        <v>7500</v>
      </c>
      <c r="J1267" s="473">
        <f>INT(M1267*$R$139)</f>
        <v>6091</v>
      </c>
      <c r="K1267" s="473">
        <f>SUM(I1267:J1267)</f>
        <v>13591</v>
      </c>
      <c r="L1267" s="167">
        <v>7500</v>
      </c>
      <c r="M1267" s="167">
        <v>6091</v>
      </c>
      <c r="N1267" s="167">
        <f>SUM(L1267,M1267)</f>
        <v>13591</v>
      </c>
      <c r="O1267" s="640">
        <f t="shared" si="213"/>
        <v>2436.3999999999996</v>
      </c>
      <c r="P1267" s="405"/>
      <c r="Q1267" s="635">
        <f t="shared" si="214"/>
        <v>2436.4</v>
      </c>
    </row>
    <row r="1268" spans="1:20" ht="54.75" hidden="1" customHeight="1">
      <c r="A1268" s="273"/>
      <c r="B1268" s="481" t="s">
        <v>1188</v>
      </c>
      <c r="C1268" s="490" t="s">
        <v>1187</v>
      </c>
      <c r="D1268" s="483">
        <v>112</v>
      </c>
      <c r="E1268" s="484">
        <v>108288</v>
      </c>
      <c r="F1268" s="526" t="s">
        <v>335</v>
      </c>
      <c r="G1268" s="488" t="s">
        <v>1075</v>
      </c>
      <c r="H1268" s="489"/>
      <c r="I1268" s="473">
        <f>INT(L1268*$Q$139)</f>
        <v>0</v>
      </c>
      <c r="J1268" s="473">
        <f>INT(M1268*$R$139)</f>
        <v>0</v>
      </c>
      <c r="K1268" s="473">
        <f>SUM(I1268:J1268)</f>
        <v>0</v>
      </c>
      <c r="L1268" s="167"/>
      <c r="M1268" s="167"/>
      <c r="N1268" s="167">
        <f>SUM(L1268,M1268)</f>
        <v>0</v>
      </c>
      <c r="O1268" s="640">
        <f t="shared" si="213"/>
        <v>0</v>
      </c>
      <c r="P1268" s="405"/>
      <c r="Q1268" s="635">
        <f t="shared" si="214"/>
        <v>0</v>
      </c>
    </row>
    <row r="1269" spans="1:20" s="579" customFormat="1" ht="46.5" customHeight="1">
      <c r="A1269" s="572"/>
      <c r="B1269" s="572"/>
      <c r="C1269" s="573" t="s">
        <v>1313</v>
      </c>
      <c r="D1269" s="574"/>
      <c r="E1269" s="574"/>
      <c r="F1269" s="575" t="s">
        <v>1082</v>
      </c>
      <c r="G1269" s="576"/>
      <c r="H1269" s="576"/>
      <c r="I1269" s="577">
        <f>I1270+I1272+I1277</f>
        <v>280401</v>
      </c>
      <c r="J1269" s="577">
        <f>J1270+J1272+J1277</f>
        <v>67704</v>
      </c>
      <c r="K1269" s="577">
        <f>I1269+J1269</f>
        <v>348105</v>
      </c>
      <c r="L1269" s="578">
        <f>L1270+L1272+L1277</f>
        <v>280401</v>
      </c>
      <c r="M1269" s="578">
        <f>M1270+M1272+M1277</f>
        <v>67704</v>
      </c>
      <c r="N1269" s="578">
        <f>L1269+M1269</f>
        <v>348105</v>
      </c>
      <c r="O1269" s="644">
        <f t="shared" si="213"/>
        <v>27081.599999999999</v>
      </c>
      <c r="Q1269" s="635">
        <f t="shared" si="214"/>
        <v>27081.599999999999</v>
      </c>
    </row>
    <row r="1270" spans="1:20" s="510" customFormat="1" ht="72" hidden="1" customHeight="1">
      <c r="A1270" s="501"/>
      <c r="B1270" s="502"/>
      <c r="C1270" s="503" t="s">
        <v>141</v>
      </c>
      <c r="D1270" s="504"/>
      <c r="E1270" s="505"/>
      <c r="F1270" s="504"/>
      <c r="G1270" s="504"/>
      <c r="H1270" s="504"/>
      <c r="I1270" s="506">
        <f>SUM(I1271)</f>
        <v>43499</v>
      </c>
      <c r="J1270" s="506">
        <f>SUM(J1271)</f>
        <v>0</v>
      </c>
      <c r="K1270" s="506">
        <f>I1270+J1270</f>
        <v>43499</v>
      </c>
      <c r="L1270" s="507">
        <f>SUM(L1271)</f>
        <v>43499</v>
      </c>
      <c r="M1270" s="507">
        <f>SUM(M1271)</f>
        <v>0</v>
      </c>
      <c r="N1270" s="507">
        <f>L1270+M1270</f>
        <v>43499</v>
      </c>
      <c r="O1270" s="640">
        <f t="shared" si="213"/>
        <v>0</v>
      </c>
      <c r="P1270" s="508"/>
      <c r="Q1270" s="635">
        <f t="shared" si="214"/>
        <v>0</v>
      </c>
      <c r="R1270" s="508"/>
      <c r="S1270" s="508"/>
      <c r="T1270" s="509"/>
    </row>
    <row r="1271" spans="1:20" ht="54.75" hidden="1" customHeight="1">
      <c r="A1271" s="273" t="s">
        <v>614</v>
      </c>
      <c r="B1271" s="481" t="s">
        <v>1173</v>
      </c>
      <c r="C1271" s="490" t="s">
        <v>317</v>
      </c>
      <c r="D1271" s="483">
        <v>8100</v>
      </c>
      <c r="E1271" s="484">
        <v>108288</v>
      </c>
      <c r="F1271" s="526" t="s">
        <v>822</v>
      </c>
      <c r="G1271" s="488" t="s">
        <v>143</v>
      </c>
      <c r="H1271" s="489">
        <v>241</v>
      </c>
      <c r="I1271" s="473">
        <f>INT(L1271*$Q$139)</f>
        <v>43499</v>
      </c>
      <c r="J1271" s="473">
        <f>INT(M1271*$R$139)</f>
        <v>0</v>
      </c>
      <c r="K1271" s="473">
        <f>SUM(I1271:J1271)</f>
        <v>43499</v>
      </c>
      <c r="L1271" s="167">
        <v>43499</v>
      </c>
      <c r="M1271" s="167"/>
      <c r="N1271" s="167">
        <f>SUM(L1271,M1271)</f>
        <v>43499</v>
      </c>
      <c r="O1271" s="640">
        <f t="shared" si="213"/>
        <v>0</v>
      </c>
      <c r="P1271" s="405" t="e">
        <f>#REF!+L1242+L1250+#REF!</f>
        <v>#REF!</v>
      </c>
      <c r="Q1271" s="635">
        <f t="shared" si="214"/>
        <v>0</v>
      </c>
    </row>
    <row r="1272" spans="1:20" s="510" customFormat="1" ht="72" hidden="1" customHeight="1">
      <c r="A1272" s="501"/>
      <c r="B1272" s="502"/>
      <c r="C1272" s="503" t="s">
        <v>310</v>
      </c>
      <c r="D1272" s="504"/>
      <c r="E1272" s="505"/>
      <c r="F1272" s="504"/>
      <c r="G1272" s="504"/>
      <c r="H1272" s="504"/>
      <c r="I1272" s="506">
        <f>I1273+I1276</f>
        <v>0</v>
      </c>
      <c r="J1272" s="506">
        <f>J1273+J1276</f>
        <v>67704</v>
      </c>
      <c r="K1272" s="506">
        <f>I1272+J1272</f>
        <v>67704</v>
      </c>
      <c r="L1272" s="507">
        <f>L1273+L1276</f>
        <v>0</v>
      </c>
      <c r="M1272" s="507">
        <f>M1273+M1276</f>
        <v>67704</v>
      </c>
      <c r="N1272" s="507">
        <f t="shared" ref="N1272:N1277" si="216">L1272+M1272</f>
        <v>67704</v>
      </c>
      <c r="O1272" s="640">
        <f t="shared" si="213"/>
        <v>27081.599999999999</v>
      </c>
      <c r="P1272" s="508"/>
      <c r="Q1272" s="635">
        <f t="shared" si="214"/>
        <v>27081.599999999999</v>
      </c>
      <c r="R1272" s="508"/>
      <c r="S1272" s="508"/>
      <c r="T1272" s="509"/>
    </row>
    <row r="1273" spans="1:20" ht="54.75" customHeight="1">
      <c r="A1273" s="273"/>
      <c r="B1273" s="481" t="s">
        <v>1027</v>
      </c>
      <c r="C1273" s="490" t="s">
        <v>681</v>
      </c>
      <c r="D1273" s="483">
        <v>8100</v>
      </c>
      <c r="E1273" s="484">
        <v>108288</v>
      </c>
      <c r="F1273" s="526" t="s">
        <v>822</v>
      </c>
      <c r="G1273" s="488" t="s">
        <v>1075</v>
      </c>
      <c r="H1273" s="491">
        <v>1</v>
      </c>
      <c r="I1273" s="473">
        <f>INT(L1273*$Q$139)</f>
        <v>0</v>
      </c>
      <c r="J1273" s="473">
        <f>INT(M1273*$R$139)</f>
        <v>17500</v>
      </c>
      <c r="K1273" s="473">
        <f>SUM(I1273:J1273)</f>
        <v>17500</v>
      </c>
      <c r="L1273" s="167"/>
      <c r="M1273" s="167">
        <v>17500</v>
      </c>
      <c r="N1273" s="167">
        <f t="shared" si="216"/>
        <v>17500</v>
      </c>
      <c r="O1273" s="640">
        <f t="shared" si="213"/>
        <v>7000</v>
      </c>
      <c r="P1273" s="405"/>
      <c r="Q1273" s="635">
        <f t="shared" si="214"/>
        <v>7000</v>
      </c>
    </row>
    <row r="1274" spans="1:20" ht="41.25" hidden="1" customHeight="1">
      <c r="A1274" s="149"/>
      <c r="B1274" s="149"/>
      <c r="C1274" s="183" t="s">
        <v>1074</v>
      </c>
      <c r="D1274" s="228">
        <v>112</v>
      </c>
      <c r="E1274" s="229">
        <v>108288</v>
      </c>
      <c r="F1274" s="230" t="s">
        <v>335</v>
      </c>
      <c r="G1274" s="237" t="s">
        <v>1075</v>
      </c>
      <c r="H1274" s="491">
        <v>1</v>
      </c>
      <c r="I1274" s="388">
        <f>INT(L1274*$Q$139)</f>
        <v>0</v>
      </c>
      <c r="J1274" s="388">
        <f>INT(M1274*$R$139)</f>
        <v>0</v>
      </c>
      <c r="K1274" s="388">
        <f>SUM(I1274:J1274)</f>
        <v>0</v>
      </c>
      <c r="L1274" s="391">
        <f>SUM(L1275:L1275)</f>
        <v>0</v>
      </c>
      <c r="M1274" s="391">
        <f>SUM(M1275:M1275)</f>
        <v>0</v>
      </c>
      <c r="N1274" s="167">
        <f t="shared" si="216"/>
        <v>0</v>
      </c>
      <c r="O1274" s="640">
        <f t="shared" si="213"/>
        <v>0</v>
      </c>
      <c r="Q1274" s="635">
        <f t="shared" si="214"/>
        <v>0</v>
      </c>
    </row>
    <row r="1275" spans="1:20" ht="77.25" hidden="1" customHeight="1">
      <c r="A1275" s="273" t="s">
        <v>835</v>
      </c>
      <c r="B1275" s="273" t="s">
        <v>835</v>
      </c>
      <c r="C1275" s="183" t="s">
        <v>1074</v>
      </c>
      <c r="D1275" s="228">
        <v>112</v>
      </c>
      <c r="E1275" s="229">
        <v>108288</v>
      </c>
      <c r="F1275" s="230" t="s">
        <v>335</v>
      </c>
      <c r="G1275" s="237" t="s">
        <v>1075</v>
      </c>
      <c r="H1275" s="491">
        <v>1</v>
      </c>
      <c r="I1275" s="388">
        <f>INT(L1275*$Q$139)</f>
        <v>0</v>
      </c>
      <c r="J1275" s="388">
        <f>INT(M1275*$R$139)</f>
        <v>0</v>
      </c>
      <c r="K1275" s="388">
        <f>SUM(I1275:J1275)</f>
        <v>0</v>
      </c>
      <c r="L1275" s="167"/>
      <c r="M1275" s="168"/>
      <c r="N1275" s="167">
        <f t="shared" si="216"/>
        <v>0</v>
      </c>
      <c r="O1275" s="640">
        <f t="shared" si="213"/>
        <v>0</v>
      </c>
      <c r="Q1275" s="635">
        <f t="shared" si="214"/>
        <v>0</v>
      </c>
    </row>
    <row r="1276" spans="1:20" ht="54.75" customHeight="1">
      <c r="A1276" s="273"/>
      <c r="B1276" s="481" t="s">
        <v>1198</v>
      </c>
      <c r="C1276" s="490" t="s">
        <v>1081</v>
      </c>
      <c r="D1276" s="483">
        <v>8100</v>
      </c>
      <c r="E1276" s="484">
        <v>108288</v>
      </c>
      <c r="F1276" s="526" t="s">
        <v>822</v>
      </c>
      <c r="G1276" s="488" t="s">
        <v>1075</v>
      </c>
      <c r="H1276" s="491">
        <v>1</v>
      </c>
      <c r="I1276" s="473">
        <f>INT(L1276*$Q$139)</f>
        <v>0</v>
      </c>
      <c r="J1276" s="473">
        <f>INT(M1276*$R$139)</f>
        <v>50204</v>
      </c>
      <c r="K1276" s="473">
        <f>SUM(I1276:J1276)</f>
        <v>50204</v>
      </c>
      <c r="L1276" s="167"/>
      <c r="M1276" s="167">
        <v>50204</v>
      </c>
      <c r="N1276" s="167">
        <f t="shared" si="216"/>
        <v>50204</v>
      </c>
      <c r="O1276" s="640">
        <f t="shared" si="213"/>
        <v>20081.600000000002</v>
      </c>
      <c r="P1276" s="405"/>
      <c r="Q1276" s="635">
        <f t="shared" si="214"/>
        <v>20081.599999999999</v>
      </c>
    </row>
    <row r="1277" spans="1:20" s="510" customFormat="1" ht="72" hidden="1" customHeight="1">
      <c r="A1277" s="501"/>
      <c r="B1277" s="502"/>
      <c r="C1277" s="503" t="s">
        <v>821</v>
      </c>
      <c r="D1277" s="504"/>
      <c r="E1277" s="505"/>
      <c r="F1277" s="504"/>
      <c r="G1277" s="504"/>
      <c r="H1277" s="504"/>
      <c r="I1277" s="506">
        <f>SUM(I1278)</f>
        <v>236902</v>
      </c>
      <c r="J1277" s="506">
        <f>SUM(J1278)</f>
        <v>0</v>
      </c>
      <c r="K1277" s="506">
        <f>I1277+J1277</f>
        <v>236902</v>
      </c>
      <c r="L1277" s="507">
        <f>SUM(L1278)</f>
        <v>236902</v>
      </c>
      <c r="M1277" s="507">
        <f>SUM(M1278)</f>
        <v>0</v>
      </c>
      <c r="N1277" s="507">
        <f t="shared" si="216"/>
        <v>236902</v>
      </c>
      <c r="O1277" s="640">
        <f t="shared" si="213"/>
        <v>0</v>
      </c>
      <c r="P1277" s="508"/>
      <c r="Q1277" s="635">
        <f t="shared" si="214"/>
        <v>0</v>
      </c>
      <c r="R1277" s="508"/>
      <c r="S1277" s="508"/>
      <c r="T1277" s="509"/>
    </row>
    <row r="1278" spans="1:20" ht="54.75" hidden="1" customHeight="1">
      <c r="A1278" s="273" t="s">
        <v>641</v>
      </c>
      <c r="B1278" s="481" t="s">
        <v>1182</v>
      </c>
      <c r="C1278" s="490" t="s">
        <v>426</v>
      </c>
      <c r="D1278" s="483">
        <v>8100</v>
      </c>
      <c r="E1278" s="484" t="s">
        <v>1262</v>
      </c>
      <c r="F1278" s="526" t="s">
        <v>822</v>
      </c>
      <c r="G1278" s="488" t="s">
        <v>882</v>
      </c>
      <c r="H1278" s="489">
        <v>1</v>
      </c>
      <c r="I1278" s="473">
        <f>INT(L1278*$Q$139)</f>
        <v>236902</v>
      </c>
      <c r="J1278" s="473">
        <f>INT(M1278*$R$139)</f>
        <v>0</v>
      </c>
      <c r="K1278" s="473">
        <f>SUM(I1278:J1278)</f>
        <v>236902</v>
      </c>
      <c r="L1278" s="167">
        <f>287106-50204</f>
        <v>236902</v>
      </c>
      <c r="M1278" s="167">
        <v>0</v>
      </c>
      <c r="N1278" s="167">
        <f>SUM(L1278,M1278)</f>
        <v>236902</v>
      </c>
      <c r="O1278" s="640">
        <f t="shared" si="213"/>
        <v>0</v>
      </c>
      <c r="P1278" s="405"/>
      <c r="Q1278" s="635">
        <f t="shared" si="214"/>
        <v>0</v>
      </c>
    </row>
    <row r="1279" spans="1:20" ht="72" hidden="1" customHeight="1">
      <c r="A1279" s="527"/>
      <c r="B1279" s="1287" t="s">
        <v>1276</v>
      </c>
      <c r="C1279" s="1287"/>
      <c r="D1279" s="1287"/>
      <c r="E1279" s="1287"/>
      <c r="F1279" s="1287"/>
      <c r="G1279" s="1287"/>
      <c r="H1279" s="1287"/>
      <c r="I1279" s="1287"/>
      <c r="J1279" s="1287"/>
      <c r="K1279" s="1287"/>
      <c r="L1279" s="536"/>
      <c r="M1279" s="536"/>
      <c r="N1279" s="536"/>
      <c r="O1279" s="640">
        <f t="shared" si="213"/>
        <v>0</v>
      </c>
      <c r="P1279" s="405"/>
      <c r="Q1279" s="635">
        <f t="shared" si="214"/>
        <v>0</v>
      </c>
    </row>
    <row r="1280" spans="1:20" ht="54.75" hidden="1" customHeight="1" thickBot="1">
      <c r="A1280" s="527"/>
      <c r="B1280" s="528"/>
      <c r="C1280" s="529"/>
      <c r="D1280" s="530"/>
      <c r="E1280" s="531"/>
      <c r="F1280" s="532"/>
      <c r="G1280" s="533"/>
      <c r="H1280" s="534"/>
      <c r="I1280" s="535"/>
      <c r="J1280" s="535"/>
      <c r="K1280" s="535"/>
      <c r="L1280" s="536"/>
      <c r="M1280" s="536"/>
      <c r="N1280" s="536"/>
      <c r="O1280" s="640">
        <f t="shared" si="213"/>
        <v>0</v>
      </c>
      <c r="P1280" s="405"/>
      <c r="Q1280" s="635">
        <f t="shared" si="214"/>
        <v>0</v>
      </c>
    </row>
    <row r="1281" spans="1:20" ht="33.75" hidden="1" customHeight="1">
      <c r="C1281" s="1204" t="s">
        <v>51</v>
      </c>
      <c r="D1281" s="1204"/>
      <c r="E1281" s="1204"/>
      <c r="F1281" s="1204"/>
      <c r="H1281" s="1243" t="s">
        <v>11</v>
      </c>
      <c r="I1281" s="1244"/>
      <c r="J1281" s="1244"/>
      <c r="K1281" s="1245"/>
      <c r="L1281" s="339"/>
      <c r="M1281" s="339"/>
      <c r="N1281" s="339"/>
      <c r="O1281" s="640">
        <f t="shared" si="213"/>
        <v>0</v>
      </c>
      <c r="P1281" s="27"/>
      <c r="Q1281" s="635">
        <f t="shared" si="214"/>
        <v>0</v>
      </c>
      <c r="R1281" s="27"/>
      <c r="S1281" s="27"/>
      <c r="T1281" s="27"/>
    </row>
    <row r="1282" spans="1:20" ht="33.75" hidden="1" customHeight="1">
      <c r="C1282" s="1204" t="s">
        <v>52</v>
      </c>
      <c r="D1282" s="1204"/>
      <c r="E1282" s="1204"/>
      <c r="F1282" s="1204"/>
      <c r="G1282" s="44"/>
      <c r="H1282" s="1208" t="s">
        <v>21</v>
      </c>
      <c r="I1282" s="1209"/>
      <c r="J1282" s="1209"/>
      <c r="K1282" s="1210"/>
      <c r="L1282" s="314"/>
      <c r="M1282" s="314"/>
      <c r="N1282" s="314"/>
      <c r="O1282" s="640">
        <f t="shared" si="213"/>
        <v>0</v>
      </c>
      <c r="Q1282" s="635">
        <f t="shared" si="214"/>
        <v>0</v>
      </c>
    </row>
    <row r="1283" spans="1:20" s="17" customFormat="1" ht="33.75" hidden="1" customHeight="1">
      <c r="A1283" s="41"/>
      <c r="B1283" s="41"/>
      <c r="C1283" s="1204" t="s">
        <v>50</v>
      </c>
      <c r="D1283" s="1204"/>
      <c r="E1283" s="1204"/>
      <c r="F1283" s="1204"/>
      <c r="G1283" s="44"/>
      <c r="H1283" s="1211"/>
      <c r="I1283" s="1212"/>
      <c r="J1283" s="1212"/>
      <c r="K1283" s="1213"/>
      <c r="L1283" s="314"/>
      <c r="M1283" s="314"/>
      <c r="N1283" s="314"/>
      <c r="O1283" s="640">
        <f t="shared" si="213"/>
        <v>0</v>
      </c>
      <c r="P1283" s="28"/>
      <c r="Q1283" s="635">
        <f t="shared" si="214"/>
        <v>0</v>
      </c>
      <c r="R1283" s="28"/>
      <c r="S1283" s="28"/>
      <c r="T1283" s="29"/>
    </row>
    <row r="1284" spans="1:20" s="51" customFormat="1" ht="53.25" hidden="1" customHeight="1">
      <c r="A1284" s="41"/>
      <c r="B1284" s="41"/>
      <c r="C1284" s="1252"/>
      <c r="D1284" s="1252"/>
      <c r="E1284" s="1252"/>
      <c r="F1284" s="1252"/>
      <c r="G1284" s="44"/>
      <c r="H1284" s="1211" t="s">
        <v>22</v>
      </c>
      <c r="I1284" s="1212"/>
      <c r="J1284" s="1212"/>
      <c r="K1284" s="477">
        <f>K1321</f>
        <v>14317270</v>
      </c>
      <c r="L1284" s="314"/>
      <c r="M1284" s="314"/>
      <c r="N1284" s="340"/>
      <c r="O1284" s="640">
        <f t="shared" si="213"/>
        <v>0</v>
      </c>
      <c r="P1284" s="28"/>
      <c r="Q1284" s="635">
        <f t="shared" si="214"/>
        <v>0</v>
      </c>
      <c r="R1284" s="28"/>
      <c r="S1284" s="28"/>
      <c r="T1284" s="29"/>
    </row>
    <row r="1285" spans="1:20" s="51" customFormat="1" ht="48.75" hidden="1" customHeight="1" thickBot="1">
      <c r="A1285" s="75"/>
      <c r="B1285" s="75"/>
      <c r="C1285" s="65"/>
      <c r="D1285" s="65"/>
      <c r="E1285" s="65"/>
      <c r="F1285" s="10"/>
      <c r="G1285" s="10"/>
      <c r="H1285" s="1283" t="s">
        <v>13</v>
      </c>
      <c r="I1285" s="1284"/>
      <c r="J1285" s="1284"/>
      <c r="K1285" s="1285"/>
      <c r="L1285" s="314"/>
      <c r="M1285" s="314"/>
      <c r="N1285" s="314"/>
      <c r="O1285" s="640">
        <f t="shared" si="213"/>
        <v>0</v>
      </c>
      <c r="P1285" s="28"/>
      <c r="Q1285" s="635">
        <f t="shared" si="214"/>
        <v>0</v>
      </c>
      <c r="R1285" s="28"/>
      <c r="S1285" s="28"/>
      <c r="T1285" s="29"/>
    </row>
    <row r="1286" spans="1:20" ht="30" hidden="1" customHeight="1">
      <c r="A1286" s="615"/>
      <c r="B1286" s="615"/>
      <c r="C1286" s="615"/>
      <c r="D1286" s="615"/>
      <c r="E1286" s="615"/>
      <c r="F1286" s="615"/>
      <c r="G1286" s="116"/>
      <c r="H1286" s="116"/>
      <c r="I1286" s="116"/>
      <c r="J1286" s="116"/>
      <c r="K1286" s="116"/>
      <c r="L1286" s="615"/>
      <c r="M1286" s="615"/>
      <c r="N1286" s="615"/>
      <c r="O1286" s="640">
        <f t="shared" si="213"/>
        <v>0</v>
      </c>
      <c r="Q1286" s="635">
        <f t="shared" si="214"/>
        <v>0</v>
      </c>
    </row>
    <row r="1287" spans="1:20" ht="30" hidden="1" customHeight="1">
      <c r="A1287" s="615"/>
      <c r="B1287" s="615"/>
      <c r="C1287" s="615"/>
      <c r="D1287" s="615"/>
      <c r="E1287" s="615"/>
      <c r="F1287" s="615"/>
      <c r="G1287" s="116"/>
      <c r="H1287" s="116"/>
      <c r="I1287" s="116"/>
      <c r="J1287" s="116"/>
      <c r="K1287" s="116"/>
      <c r="L1287" s="615"/>
      <c r="M1287" s="615"/>
      <c r="N1287" s="615"/>
      <c r="O1287" s="640">
        <f t="shared" si="213"/>
        <v>0</v>
      </c>
      <c r="Q1287" s="635">
        <f t="shared" si="214"/>
        <v>0</v>
      </c>
    </row>
    <row r="1288" spans="1:20" ht="39.950000000000003" hidden="1" customHeight="1">
      <c r="A1288" s="346"/>
      <c r="B1288" s="1226" t="s">
        <v>1037</v>
      </c>
      <c r="C1288" s="1226"/>
      <c r="D1288" s="1226"/>
      <c r="E1288" s="1226"/>
      <c r="F1288" s="1226"/>
      <c r="G1288" s="1226"/>
      <c r="H1288" s="1226"/>
      <c r="I1288" s="1226"/>
      <c r="J1288" s="1226"/>
      <c r="K1288" s="1226"/>
      <c r="L1288" s="346"/>
      <c r="M1288" s="346"/>
      <c r="N1288" s="346"/>
      <c r="O1288" s="640">
        <f t="shared" si="213"/>
        <v>0</v>
      </c>
      <c r="P1288" s="27"/>
      <c r="Q1288" s="635">
        <f t="shared" si="214"/>
        <v>0</v>
      </c>
      <c r="R1288" s="27"/>
      <c r="S1288" s="27"/>
      <c r="T1288" s="27"/>
    </row>
    <row r="1289" spans="1:20" ht="39.950000000000003" hidden="1" customHeight="1">
      <c r="A1289" s="46"/>
      <c r="B1289" s="46"/>
      <c r="C1289" s="46"/>
      <c r="D1289" s="46"/>
      <c r="E1289" s="46"/>
      <c r="F1289" s="46"/>
      <c r="G1289" s="46"/>
      <c r="H1289" s="46"/>
      <c r="I1289" s="46"/>
      <c r="J1289" s="46"/>
      <c r="K1289" s="46"/>
      <c r="L1289" s="46"/>
      <c r="M1289" s="46"/>
      <c r="N1289" s="46"/>
      <c r="O1289" s="640">
        <f t="shared" si="213"/>
        <v>0</v>
      </c>
      <c r="Q1289" s="635">
        <f t="shared" si="214"/>
        <v>0</v>
      </c>
    </row>
    <row r="1290" spans="1:20" s="500" customFormat="1" ht="90" hidden="1">
      <c r="A1290" s="496" t="s">
        <v>14</v>
      </c>
      <c r="B1290" s="497" t="s">
        <v>14</v>
      </c>
      <c r="C1290" s="497" t="s">
        <v>37</v>
      </c>
      <c r="D1290" s="497" t="s">
        <v>440</v>
      </c>
      <c r="E1290" s="497" t="s">
        <v>16</v>
      </c>
      <c r="F1290" s="497" t="s">
        <v>185</v>
      </c>
      <c r="G1290" s="497" t="s">
        <v>178</v>
      </c>
      <c r="H1290" s="497" t="s">
        <v>179</v>
      </c>
      <c r="I1290" s="497" t="s">
        <v>180</v>
      </c>
      <c r="J1290" s="497" t="s">
        <v>1275</v>
      </c>
      <c r="K1290" s="497" t="s">
        <v>200</v>
      </c>
      <c r="L1290" s="496" t="s">
        <v>180</v>
      </c>
      <c r="M1290" s="496" t="s">
        <v>181</v>
      </c>
      <c r="N1290" s="496" t="s">
        <v>200</v>
      </c>
      <c r="O1290" s="640" t="e">
        <f t="shared" si="213"/>
        <v>#VALUE!</v>
      </c>
      <c r="P1290" s="498"/>
      <c r="Q1290" s="635" t="e">
        <f t="shared" si="214"/>
        <v>#VALUE!</v>
      </c>
      <c r="R1290" s="498"/>
      <c r="S1290" s="498"/>
      <c r="T1290" s="499"/>
    </row>
    <row r="1291" spans="1:20" s="579" customFormat="1" ht="46.5" customHeight="1">
      <c r="A1291" s="572"/>
      <c r="B1291" s="572"/>
      <c r="C1291" s="573" t="s">
        <v>1083</v>
      </c>
      <c r="D1291" s="574"/>
      <c r="E1291" s="574"/>
      <c r="F1291" s="575" t="s">
        <v>123</v>
      </c>
      <c r="G1291" s="576"/>
      <c r="H1291" s="576"/>
      <c r="I1291" s="577">
        <f>SUM(I1292,I1294,I1297,I1299,I1302)</f>
        <v>98422</v>
      </c>
      <c r="J1291" s="577">
        <f>SUM(J1292,J1294,J1297,J1299,J1302)</f>
        <v>8475</v>
      </c>
      <c r="K1291" s="577">
        <f>I1291+J1291</f>
        <v>106897</v>
      </c>
      <c r="L1291" s="578">
        <f>SUM(L1292,L1294,L1297,L1299,L1302)</f>
        <v>98422</v>
      </c>
      <c r="M1291" s="578">
        <f>SUM(M1292,M1294,M1297,M1299,M1302)</f>
        <v>8475</v>
      </c>
      <c r="N1291" s="578">
        <f>L1291+M1291</f>
        <v>106897</v>
      </c>
      <c r="O1291" s="644">
        <f t="shared" si="213"/>
        <v>3390</v>
      </c>
      <c r="Q1291" s="635">
        <f t="shared" si="214"/>
        <v>3390</v>
      </c>
    </row>
    <row r="1292" spans="1:20" s="510" customFormat="1" ht="72" hidden="1" customHeight="1">
      <c r="A1292" s="501"/>
      <c r="B1292" s="502"/>
      <c r="C1292" s="503" t="s">
        <v>141</v>
      </c>
      <c r="D1292" s="504"/>
      <c r="E1292" s="505"/>
      <c r="F1292" s="504"/>
      <c r="G1292" s="504"/>
      <c r="H1292" s="504"/>
      <c r="I1292" s="506">
        <f>SUM(I1293)</f>
        <v>66935</v>
      </c>
      <c r="J1292" s="506"/>
      <c r="K1292" s="506">
        <f>I1292+J1292</f>
        <v>66935</v>
      </c>
      <c r="L1292" s="507">
        <f>SUM(L1293)</f>
        <v>66935</v>
      </c>
      <c r="M1292" s="507"/>
      <c r="N1292" s="507">
        <f>L1292+M1292</f>
        <v>66935</v>
      </c>
      <c r="O1292" s="640">
        <f t="shared" si="213"/>
        <v>0</v>
      </c>
      <c r="P1292" s="508"/>
      <c r="Q1292" s="635">
        <f t="shared" si="214"/>
        <v>0</v>
      </c>
      <c r="R1292" s="508"/>
      <c r="S1292" s="508"/>
      <c r="T1292" s="509"/>
    </row>
    <row r="1293" spans="1:20" ht="54.75" hidden="1" customHeight="1">
      <c r="A1293" s="273" t="s">
        <v>615</v>
      </c>
      <c r="B1293" s="481" t="s">
        <v>1173</v>
      </c>
      <c r="C1293" s="490" t="s">
        <v>317</v>
      </c>
      <c r="D1293" s="483">
        <v>8100</v>
      </c>
      <c r="E1293" s="484">
        <v>108288</v>
      </c>
      <c r="F1293" s="526" t="s">
        <v>1084</v>
      </c>
      <c r="G1293" s="488" t="s">
        <v>79</v>
      </c>
      <c r="H1293" s="491">
        <v>1</v>
      </c>
      <c r="I1293" s="473">
        <f>INT(L1293*$Q$139)</f>
        <v>66935</v>
      </c>
      <c r="J1293" s="473">
        <f>INT(M1293*$R$139)</f>
        <v>0</v>
      </c>
      <c r="K1293" s="473">
        <f>SUM(I1293:J1293)</f>
        <v>66935</v>
      </c>
      <c r="L1293" s="167">
        <v>66935</v>
      </c>
      <c r="M1293" s="167"/>
      <c r="N1293" s="167">
        <f>SUM(L1293,M1293)</f>
        <v>66935</v>
      </c>
      <c r="O1293" s="640">
        <f t="shared" si="213"/>
        <v>0</v>
      </c>
      <c r="P1293" s="405"/>
      <c r="Q1293" s="635">
        <f t="shared" si="214"/>
        <v>0</v>
      </c>
    </row>
    <row r="1294" spans="1:20" s="510" customFormat="1" ht="72" hidden="1" customHeight="1">
      <c r="A1294" s="501"/>
      <c r="B1294" s="502"/>
      <c r="C1294" s="503" t="s">
        <v>310</v>
      </c>
      <c r="D1294" s="504"/>
      <c r="E1294" s="505"/>
      <c r="F1294" s="504"/>
      <c r="G1294" s="504"/>
      <c r="H1294" s="504"/>
      <c r="I1294" s="506">
        <f>SUM(I1295:I1296)</f>
        <v>14287</v>
      </c>
      <c r="J1294" s="506">
        <f>SUM(J1295:J1296)</f>
        <v>4000</v>
      </c>
      <c r="K1294" s="506">
        <f>I1294+J1294</f>
        <v>18287</v>
      </c>
      <c r="L1294" s="507">
        <f>SUM(L1295:L1296)</f>
        <v>14287</v>
      </c>
      <c r="M1294" s="507">
        <f>SUM(M1295:M1296)</f>
        <v>4000</v>
      </c>
      <c r="N1294" s="507">
        <f>L1294+M1294</f>
        <v>18287</v>
      </c>
      <c r="O1294" s="640">
        <f t="shared" si="213"/>
        <v>1600</v>
      </c>
      <c r="P1294" s="508"/>
      <c r="Q1294" s="635">
        <f t="shared" si="214"/>
        <v>1600</v>
      </c>
      <c r="R1294" s="508"/>
      <c r="S1294" s="508"/>
      <c r="T1294" s="509"/>
    </row>
    <row r="1295" spans="1:20" ht="54.75" customHeight="1">
      <c r="A1295" s="273" t="s">
        <v>617</v>
      </c>
      <c r="B1295" s="481" t="s">
        <v>1027</v>
      </c>
      <c r="C1295" s="490" t="s">
        <v>681</v>
      </c>
      <c r="D1295" s="483">
        <v>8100</v>
      </c>
      <c r="E1295" s="484">
        <v>108288</v>
      </c>
      <c r="F1295" s="526" t="s">
        <v>1084</v>
      </c>
      <c r="G1295" s="488" t="s">
        <v>520</v>
      </c>
      <c r="H1295" s="491">
        <v>1</v>
      </c>
      <c r="I1295" s="473">
        <f>INT(L1295*$Q$139)</f>
        <v>14287</v>
      </c>
      <c r="J1295" s="473">
        <f>INT(M1295*$R$139)</f>
        <v>4000</v>
      </c>
      <c r="K1295" s="473">
        <f>SUM(I1295:J1295)</f>
        <v>18287</v>
      </c>
      <c r="L1295" s="167">
        <v>14287</v>
      </c>
      <c r="M1295" s="167">
        <v>4000</v>
      </c>
      <c r="N1295" s="167">
        <f>SUM(L1295,M1295)</f>
        <v>18287</v>
      </c>
      <c r="O1295" s="640">
        <f t="shared" si="213"/>
        <v>1600</v>
      </c>
      <c r="P1295" s="405"/>
      <c r="Q1295" s="635">
        <f t="shared" si="214"/>
        <v>1600</v>
      </c>
    </row>
    <row r="1296" spans="1:20" ht="54.75" hidden="1" customHeight="1">
      <c r="A1296" s="273"/>
      <c r="B1296" s="481" t="s">
        <v>1186</v>
      </c>
      <c r="C1296" s="490" t="s">
        <v>1074</v>
      </c>
      <c r="D1296" s="483">
        <v>112</v>
      </c>
      <c r="E1296" s="484">
        <v>108288</v>
      </c>
      <c r="F1296" s="526" t="s">
        <v>1084</v>
      </c>
      <c r="G1296" s="488" t="s">
        <v>1075</v>
      </c>
      <c r="H1296" s="489"/>
      <c r="I1296" s="473">
        <f>INT(L1296*$Q$139)</f>
        <v>0</v>
      </c>
      <c r="J1296" s="473">
        <f>INT(M1296*$R$139)</f>
        <v>0</v>
      </c>
      <c r="K1296" s="473">
        <f>SUM(I1296:J1296)</f>
        <v>0</v>
      </c>
      <c r="L1296" s="167"/>
      <c r="M1296" s="167"/>
      <c r="N1296" s="167">
        <f>L1296+M1296</f>
        <v>0</v>
      </c>
      <c r="O1296" s="640">
        <f t="shared" si="213"/>
        <v>0</v>
      </c>
      <c r="P1296" s="405"/>
      <c r="Q1296" s="635">
        <f t="shared" si="214"/>
        <v>0</v>
      </c>
    </row>
    <row r="1297" spans="1:20" s="510" customFormat="1" ht="72" hidden="1" customHeight="1">
      <c r="A1297" s="501"/>
      <c r="B1297" s="502"/>
      <c r="C1297" s="503" t="s">
        <v>397</v>
      </c>
      <c r="D1297" s="504"/>
      <c r="E1297" s="505"/>
      <c r="F1297" s="504"/>
      <c r="G1297" s="504"/>
      <c r="H1297" s="504"/>
      <c r="I1297" s="506">
        <f>I1298</f>
        <v>0</v>
      </c>
      <c r="J1297" s="506">
        <f>J1298</f>
        <v>0</v>
      </c>
      <c r="K1297" s="506">
        <f>I1297+J1297</f>
        <v>0</v>
      </c>
      <c r="L1297" s="507">
        <f>L1298</f>
        <v>0</v>
      </c>
      <c r="M1297" s="507">
        <f>M1298</f>
        <v>0</v>
      </c>
      <c r="N1297" s="507">
        <f>L1297+M1297</f>
        <v>0</v>
      </c>
      <c r="O1297" s="640">
        <f t="shared" si="213"/>
        <v>0</v>
      </c>
      <c r="P1297" s="508"/>
      <c r="Q1297" s="635">
        <f t="shared" si="214"/>
        <v>0</v>
      </c>
      <c r="R1297" s="508"/>
      <c r="S1297" s="508"/>
      <c r="T1297" s="509"/>
    </row>
    <row r="1298" spans="1:20" ht="54.75" hidden="1" customHeight="1">
      <c r="A1298" s="273" t="s">
        <v>653</v>
      </c>
      <c r="B1298" s="481" t="s">
        <v>1031</v>
      </c>
      <c r="C1298" s="490" t="s">
        <v>319</v>
      </c>
      <c r="D1298" s="483">
        <v>100</v>
      </c>
      <c r="E1298" s="484" t="s">
        <v>686</v>
      </c>
      <c r="F1298" s="526" t="s">
        <v>1084</v>
      </c>
      <c r="G1298" s="488" t="s">
        <v>18</v>
      </c>
      <c r="H1298" s="489">
        <v>2</v>
      </c>
      <c r="I1298" s="473">
        <f>INT(L1298*$Q$139)</f>
        <v>0</v>
      </c>
      <c r="J1298" s="473">
        <f>INT(M1298*$R$139)</f>
        <v>0</v>
      </c>
      <c r="K1298" s="473">
        <f>SUM(I1298:J1298)</f>
        <v>0</v>
      </c>
      <c r="L1298" s="167">
        <v>0</v>
      </c>
      <c r="M1298" s="167"/>
      <c r="N1298" s="167">
        <f>L1298</f>
        <v>0</v>
      </c>
      <c r="O1298" s="640">
        <f t="shared" si="213"/>
        <v>0</v>
      </c>
      <c r="P1298" s="405"/>
      <c r="Q1298" s="635">
        <f t="shared" si="214"/>
        <v>0</v>
      </c>
    </row>
    <row r="1299" spans="1:20" ht="41.25" hidden="1" customHeight="1">
      <c r="A1299" s="149"/>
      <c r="B1299" s="149"/>
      <c r="C1299" s="143" t="s">
        <v>274</v>
      </c>
      <c r="D1299" s="144"/>
      <c r="E1299" s="144"/>
      <c r="F1299" s="137"/>
      <c r="G1299" s="143"/>
      <c r="H1299" s="135"/>
      <c r="I1299" s="391">
        <f t="shared" ref="I1299:N1299" si="217">SUM(I1300:I1301)</f>
        <v>0</v>
      </c>
      <c r="J1299" s="391">
        <f t="shared" si="217"/>
        <v>0</v>
      </c>
      <c r="K1299" s="391">
        <f>I1299+J1299</f>
        <v>0</v>
      </c>
      <c r="L1299" s="391">
        <f t="shared" si="217"/>
        <v>0</v>
      </c>
      <c r="M1299" s="391">
        <f t="shared" si="217"/>
        <v>0</v>
      </c>
      <c r="N1299" s="391">
        <f t="shared" si="217"/>
        <v>0</v>
      </c>
      <c r="O1299" s="640">
        <f t="shared" si="213"/>
        <v>0</v>
      </c>
      <c r="Q1299" s="635">
        <f t="shared" si="214"/>
        <v>0</v>
      </c>
    </row>
    <row r="1300" spans="1:20" ht="48.75" hidden="1" customHeight="1">
      <c r="A1300" s="273" t="s">
        <v>836</v>
      </c>
      <c r="B1300" s="273" t="s">
        <v>836</v>
      </c>
      <c r="C1300" s="183" t="s">
        <v>681</v>
      </c>
      <c r="D1300" s="228">
        <v>112</v>
      </c>
      <c r="E1300" s="229" t="s">
        <v>795</v>
      </c>
      <c r="F1300" s="230" t="s">
        <v>94</v>
      </c>
      <c r="G1300" s="237" t="s">
        <v>725</v>
      </c>
      <c r="H1300" s="251">
        <v>1</v>
      </c>
      <c r="I1300" s="388">
        <f>INT(L1300*$Q$139)</f>
        <v>0</v>
      </c>
      <c r="J1300" s="388">
        <f>INT(M1300*$R$139)</f>
        <v>0</v>
      </c>
      <c r="K1300" s="388">
        <f>SUM(I1300:J1300)</f>
        <v>0</v>
      </c>
      <c r="L1300" s="167"/>
      <c r="M1300" s="167"/>
      <c r="N1300" s="167">
        <f>SUM(L1300,M1300)</f>
        <v>0</v>
      </c>
      <c r="O1300" s="640">
        <f t="shared" si="213"/>
        <v>0</v>
      </c>
      <c r="Q1300" s="635">
        <f t="shared" si="214"/>
        <v>0</v>
      </c>
    </row>
    <row r="1301" spans="1:20" ht="48.75" hidden="1" customHeight="1">
      <c r="A1301" s="273" t="s">
        <v>838</v>
      </c>
      <c r="B1301" s="273" t="s">
        <v>838</v>
      </c>
      <c r="C1301" s="241" t="s">
        <v>316</v>
      </c>
      <c r="D1301" s="228">
        <v>112</v>
      </c>
      <c r="E1301" s="229" t="s">
        <v>795</v>
      </c>
      <c r="F1301" s="230" t="s">
        <v>94</v>
      </c>
      <c r="G1301" s="242" t="s">
        <v>315</v>
      </c>
      <c r="H1301" s="271">
        <v>1</v>
      </c>
      <c r="I1301" s="388">
        <f>INT(L1301*$Q$139)</f>
        <v>0</v>
      </c>
      <c r="J1301" s="388">
        <f>INT(M1301*$R$139)</f>
        <v>0</v>
      </c>
      <c r="K1301" s="388">
        <f>SUM(I1301:J1301)</f>
        <v>0</v>
      </c>
      <c r="L1301" s="167"/>
      <c r="M1301" s="167"/>
      <c r="N1301" s="167">
        <f>SUM(L1301,M1301)</f>
        <v>0</v>
      </c>
      <c r="O1301" s="640">
        <f t="shared" si="213"/>
        <v>0</v>
      </c>
      <c r="Q1301" s="635">
        <f t="shared" si="214"/>
        <v>0</v>
      </c>
    </row>
    <row r="1302" spans="1:20" s="510" customFormat="1" ht="72" hidden="1" customHeight="1">
      <c r="A1302" s="501"/>
      <c r="B1302" s="502"/>
      <c r="C1302" s="503" t="s">
        <v>312</v>
      </c>
      <c r="D1302" s="504"/>
      <c r="E1302" s="505"/>
      <c r="F1302" s="504"/>
      <c r="G1302" s="504"/>
      <c r="H1302" s="504"/>
      <c r="I1302" s="506">
        <f>SUM(I1303:I1304)</f>
        <v>17200</v>
      </c>
      <c r="J1302" s="506">
        <f>SUM(J1303:J1304)</f>
        <v>4475</v>
      </c>
      <c r="K1302" s="506">
        <f>I1302+J1302</f>
        <v>21675</v>
      </c>
      <c r="L1302" s="507">
        <f>SUM(L1303:L1304)</f>
        <v>17200</v>
      </c>
      <c r="M1302" s="507">
        <f>SUM(M1303:M1304)</f>
        <v>4475</v>
      </c>
      <c r="N1302" s="507">
        <f>L1302+M1302</f>
        <v>21675</v>
      </c>
      <c r="O1302" s="640">
        <f t="shared" si="213"/>
        <v>1790</v>
      </c>
      <c r="P1302" s="508"/>
      <c r="Q1302" s="635">
        <f t="shared" si="214"/>
        <v>1790</v>
      </c>
      <c r="R1302" s="508"/>
      <c r="S1302" s="508"/>
      <c r="T1302" s="509"/>
    </row>
    <row r="1303" spans="1:20" ht="54.75" customHeight="1">
      <c r="A1303" s="273" t="s">
        <v>632</v>
      </c>
      <c r="B1303" s="481" t="s">
        <v>1030</v>
      </c>
      <c r="C1303" s="490" t="s">
        <v>316</v>
      </c>
      <c r="D1303" s="483">
        <v>8100</v>
      </c>
      <c r="E1303" s="484">
        <v>108288</v>
      </c>
      <c r="F1303" s="526" t="s">
        <v>1084</v>
      </c>
      <c r="G1303" s="488" t="s">
        <v>315</v>
      </c>
      <c r="H1303" s="491">
        <v>1</v>
      </c>
      <c r="I1303" s="473">
        <f>INT(L1303*$Q$139)</f>
        <v>17200</v>
      </c>
      <c r="J1303" s="473">
        <f>INT(M1303*$R$139)</f>
        <v>4475</v>
      </c>
      <c r="K1303" s="473">
        <f>SUM(I1303:J1303)</f>
        <v>21675</v>
      </c>
      <c r="L1303" s="167">
        <v>17200</v>
      </c>
      <c r="M1303" s="167">
        <v>4475</v>
      </c>
      <c r="N1303" s="167">
        <f>SUM(L1303,M1303)</f>
        <v>21675</v>
      </c>
      <c r="O1303" s="640">
        <f t="shared" si="213"/>
        <v>1790</v>
      </c>
      <c r="P1303" s="405"/>
      <c r="Q1303" s="635">
        <f t="shared" si="214"/>
        <v>1790</v>
      </c>
    </row>
    <row r="1304" spans="1:20" ht="54.75" hidden="1" customHeight="1">
      <c r="A1304" s="273"/>
      <c r="B1304" s="481" t="s">
        <v>1188</v>
      </c>
      <c r="C1304" s="490" t="s">
        <v>1187</v>
      </c>
      <c r="D1304" s="483">
        <v>112</v>
      </c>
      <c r="E1304" s="484">
        <v>108288</v>
      </c>
      <c r="F1304" s="526" t="s">
        <v>1084</v>
      </c>
      <c r="G1304" s="488" t="s">
        <v>1075</v>
      </c>
      <c r="H1304" s="489"/>
      <c r="I1304" s="473">
        <f>INT(L1304*$Q$139)</f>
        <v>0</v>
      </c>
      <c r="J1304" s="473">
        <f>INT(M1304*$R$139)</f>
        <v>0</v>
      </c>
      <c r="K1304" s="473">
        <f>SUM(I1304:J1304)</f>
        <v>0</v>
      </c>
      <c r="L1304" s="167"/>
      <c r="M1304" s="167"/>
      <c r="N1304" s="167"/>
      <c r="O1304" s="640">
        <f t="shared" si="213"/>
        <v>0</v>
      </c>
      <c r="P1304" s="405"/>
      <c r="Q1304" s="635">
        <f t="shared" si="214"/>
        <v>0</v>
      </c>
    </row>
    <row r="1305" spans="1:20" s="579" customFormat="1" ht="46.5" customHeight="1">
      <c r="A1305" s="572"/>
      <c r="B1305" s="572"/>
      <c r="C1305" s="573" t="s">
        <v>34</v>
      </c>
      <c r="D1305" s="574"/>
      <c r="E1305" s="574"/>
      <c r="F1305" s="575" t="s">
        <v>119</v>
      </c>
      <c r="G1305" s="576"/>
      <c r="H1305" s="576"/>
      <c r="I1305" s="577">
        <f>SUM(I1306,I1308,I1311,I1314)</f>
        <v>132792</v>
      </c>
      <c r="J1305" s="577">
        <f>SUM(J1306,J1308,J1311,J1314)</f>
        <v>10500</v>
      </c>
      <c r="K1305" s="577">
        <f>I1305+J1305</f>
        <v>143292</v>
      </c>
      <c r="L1305" s="578">
        <f>SUM(L1306,L1308,L1311,L1314)</f>
        <v>132792</v>
      </c>
      <c r="M1305" s="578">
        <f>SUM(M1306,M1308,M1311,M1314)</f>
        <v>10500</v>
      </c>
      <c r="N1305" s="578">
        <f>L1305+M1305</f>
        <v>143292</v>
      </c>
      <c r="O1305" s="644">
        <f t="shared" si="213"/>
        <v>4200</v>
      </c>
      <c r="Q1305" s="635">
        <f t="shared" si="214"/>
        <v>4200</v>
      </c>
    </row>
    <row r="1306" spans="1:20" s="510" customFormat="1" ht="72" hidden="1" customHeight="1">
      <c r="A1306" s="501"/>
      <c r="B1306" s="502"/>
      <c r="C1306" s="503" t="s">
        <v>141</v>
      </c>
      <c r="D1306" s="504"/>
      <c r="E1306" s="505"/>
      <c r="F1306" s="504"/>
      <c r="G1306" s="504"/>
      <c r="H1306" s="504"/>
      <c r="I1306" s="506">
        <f>SUM(I1307)</f>
        <v>99299</v>
      </c>
      <c r="J1306" s="506">
        <f>SUM(J1307)</f>
        <v>0</v>
      </c>
      <c r="K1306" s="506">
        <f>I1306+J1306</f>
        <v>99299</v>
      </c>
      <c r="L1306" s="507">
        <f>SUM(L1307)</f>
        <v>99299</v>
      </c>
      <c r="M1306" s="507">
        <f>SUM(M1307)</f>
        <v>0</v>
      </c>
      <c r="N1306" s="507">
        <f>L1306+M1306</f>
        <v>99299</v>
      </c>
      <c r="O1306" s="640">
        <f t="shared" si="213"/>
        <v>0</v>
      </c>
      <c r="P1306" s="508"/>
      <c r="Q1306" s="635">
        <f t="shared" si="214"/>
        <v>0</v>
      </c>
      <c r="R1306" s="508"/>
      <c r="S1306" s="508"/>
      <c r="T1306" s="509"/>
    </row>
    <row r="1307" spans="1:20" ht="54.75" hidden="1" customHeight="1">
      <c r="A1307" s="273" t="s">
        <v>615</v>
      </c>
      <c r="B1307" s="481" t="s">
        <v>1197</v>
      </c>
      <c r="C1307" s="490" t="s">
        <v>317</v>
      </c>
      <c r="D1307" s="483">
        <v>8100</v>
      </c>
      <c r="E1307" s="484">
        <v>108288</v>
      </c>
      <c r="F1307" s="526" t="s">
        <v>28</v>
      </c>
      <c r="G1307" s="488" t="s">
        <v>79</v>
      </c>
      <c r="H1307" s="491">
        <v>1</v>
      </c>
      <c r="I1307" s="473">
        <f>INT(L1307*$Q$139)</f>
        <v>99299</v>
      </c>
      <c r="J1307" s="473">
        <f>INT(M1307*$R$139)</f>
        <v>0</v>
      </c>
      <c r="K1307" s="473">
        <f>SUM(I1307:J1307)</f>
        <v>99299</v>
      </c>
      <c r="L1307" s="167">
        <v>99299</v>
      </c>
      <c r="M1307" s="167"/>
      <c r="N1307" s="167">
        <f>SUM(L1307,M1307)</f>
        <v>99299</v>
      </c>
      <c r="O1307" s="640">
        <f t="shared" si="213"/>
        <v>0</v>
      </c>
      <c r="P1307" s="405"/>
      <c r="Q1307" s="635">
        <f t="shared" si="214"/>
        <v>0</v>
      </c>
    </row>
    <row r="1308" spans="1:20" s="510" customFormat="1" ht="72" hidden="1" customHeight="1">
      <c r="A1308" s="501"/>
      <c r="B1308" s="502"/>
      <c r="C1308" s="503" t="s">
        <v>310</v>
      </c>
      <c r="D1308" s="504"/>
      <c r="E1308" s="505"/>
      <c r="F1308" s="504"/>
      <c r="G1308" s="504"/>
      <c r="H1308" s="504"/>
      <c r="I1308" s="506">
        <f>SUM(I1309,I1310)</f>
        <v>18349</v>
      </c>
      <c r="J1308" s="506">
        <f>SUM(J1309,J1310)</f>
        <v>7000</v>
      </c>
      <c r="K1308" s="506">
        <f>I1308+J1308</f>
        <v>25349</v>
      </c>
      <c r="L1308" s="507">
        <f>SUM(L1309,L1310)</f>
        <v>18349</v>
      </c>
      <c r="M1308" s="507">
        <f>SUM(M1309,M1310)</f>
        <v>7000</v>
      </c>
      <c r="N1308" s="507">
        <f>L1308+M1308</f>
        <v>25349</v>
      </c>
      <c r="O1308" s="640">
        <f t="shared" si="213"/>
        <v>2800</v>
      </c>
      <c r="P1308" s="508"/>
      <c r="Q1308" s="635">
        <f t="shared" si="214"/>
        <v>2800</v>
      </c>
      <c r="R1308" s="508"/>
      <c r="S1308" s="508"/>
      <c r="T1308" s="509"/>
    </row>
    <row r="1309" spans="1:20" ht="54.75" customHeight="1">
      <c r="A1309" s="273" t="s">
        <v>617</v>
      </c>
      <c r="B1309" s="481" t="s">
        <v>1032</v>
      </c>
      <c r="C1309" s="490" t="s">
        <v>681</v>
      </c>
      <c r="D1309" s="483">
        <v>8100</v>
      </c>
      <c r="E1309" s="484">
        <v>108288</v>
      </c>
      <c r="F1309" s="526" t="s">
        <v>28</v>
      </c>
      <c r="G1309" s="488" t="s">
        <v>203</v>
      </c>
      <c r="H1309" s="491">
        <v>1</v>
      </c>
      <c r="I1309" s="473">
        <f>INT(L1309*$Q$139)</f>
        <v>18349</v>
      </c>
      <c r="J1309" s="473">
        <f>INT(M1309*$R$139)</f>
        <v>7000</v>
      </c>
      <c r="K1309" s="473">
        <f>SUM(I1309:J1309)</f>
        <v>25349</v>
      </c>
      <c r="L1309" s="167">
        <v>18349</v>
      </c>
      <c r="M1309" s="167">
        <v>7000</v>
      </c>
      <c r="N1309" s="167">
        <f>SUM(L1309,M1309)</f>
        <v>25349</v>
      </c>
      <c r="O1309" s="640">
        <f t="shared" si="213"/>
        <v>2800</v>
      </c>
      <c r="P1309" s="405"/>
      <c r="Q1309" s="635">
        <f t="shared" si="214"/>
        <v>2800</v>
      </c>
    </row>
    <row r="1310" spans="1:20" ht="54.75" hidden="1" customHeight="1">
      <c r="A1310" s="273"/>
      <c r="B1310" s="481" t="s">
        <v>1195</v>
      </c>
      <c r="C1310" s="490" t="s">
        <v>1074</v>
      </c>
      <c r="D1310" s="483">
        <v>112</v>
      </c>
      <c r="E1310" s="484">
        <v>108288</v>
      </c>
      <c r="F1310" s="526" t="s">
        <v>28</v>
      </c>
      <c r="G1310" s="488" t="s">
        <v>1075</v>
      </c>
      <c r="H1310" s="489"/>
      <c r="I1310" s="473">
        <f>INT(L1310*$Q$139)</f>
        <v>0</v>
      </c>
      <c r="J1310" s="473">
        <f>INT(M1310*$R$139)</f>
        <v>0</v>
      </c>
      <c r="K1310" s="473">
        <f>SUM(I1310:J1310)</f>
        <v>0</v>
      </c>
      <c r="L1310" s="167"/>
      <c r="M1310" s="167"/>
      <c r="N1310" s="167">
        <f>L1310+M1310</f>
        <v>0</v>
      </c>
      <c r="O1310" s="640">
        <f t="shared" si="213"/>
        <v>0</v>
      </c>
      <c r="P1310" s="405"/>
      <c r="Q1310" s="635">
        <f t="shared" si="214"/>
        <v>0</v>
      </c>
    </row>
    <row r="1311" spans="1:20" ht="41.25" hidden="1" customHeight="1">
      <c r="A1311" s="149"/>
      <c r="B1311" s="149"/>
      <c r="C1311" s="143" t="s">
        <v>274</v>
      </c>
      <c r="D1311" s="144"/>
      <c r="E1311" s="144"/>
      <c r="F1311" s="137"/>
      <c r="G1311" s="143"/>
      <c r="H1311" s="135"/>
      <c r="I1311" s="391">
        <f t="shared" ref="I1311:N1311" si="218">SUM(I1312:I1313)</f>
        <v>0</v>
      </c>
      <c r="J1311" s="391">
        <f t="shared" si="218"/>
        <v>0</v>
      </c>
      <c r="K1311" s="391">
        <f>I1311+J1311</f>
        <v>0</v>
      </c>
      <c r="L1311" s="391">
        <f t="shared" si="218"/>
        <v>0</v>
      </c>
      <c r="M1311" s="391">
        <f t="shared" si="218"/>
        <v>0</v>
      </c>
      <c r="N1311" s="391">
        <f t="shared" si="218"/>
        <v>0</v>
      </c>
      <c r="O1311" s="640">
        <f t="shared" si="213"/>
        <v>0</v>
      </c>
      <c r="Q1311" s="635">
        <f t="shared" si="214"/>
        <v>0</v>
      </c>
    </row>
    <row r="1312" spans="1:20" ht="87" hidden="1" customHeight="1">
      <c r="A1312" s="273" t="s">
        <v>836</v>
      </c>
      <c r="B1312" s="273" t="s">
        <v>836</v>
      </c>
      <c r="C1312" s="183" t="s">
        <v>681</v>
      </c>
      <c r="D1312" s="228">
        <v>112</v>
      </c>
      <c r="E1312" s="229" t="s">
        <v>795</v>
      </c>
      <c r="F1312" s="230" t="s">
        <v>28</v>
      </c>
      <c r="G1312" s="237" t="s">
        <v>725</v>
      </c>
      <c r="H1312" s="251">
        <v>1</v>
      </c>
      <c r="I1312" s="388">
        <f>INT(L1312*$Q$139)</f>
        <v>0</v>
      </c>
      <c r="J1312" s="388">
        <f>INT(M1312*$R$139)</f>
        <v>0</v>
      </c>
      <c r="K1312" s="388">
        <f>SUM(I1312:J1312)</f>
        <v>0</v>
      </c>
      <c r="L1312" s="167"/>
      <c r="M1312" s="168"/>
      <c r="N1312" s="167">
        <f>SUM(L1312,M1312)</f>
        <v>0</v>
      </c>
      <c r="O1312" s="640">
        <f t="shared" si="213"/>
        <v>0</v>
      </c>
      <c r="Q1312" s="635">
        <f t="shared" si="214"/>
        <v>0</v>
      </c>
    </row>
    <row r="1313" spans="1:20" ht="62.25" hidden="1" customHeight="1">
      <c r="A1313" s="273" t="s">
        <v>838</v>
      </c>
      <c r="B1313" s="273" t="s">
        <v>838</v>
      </c>
      <c r="C1313" s="241" t="s">
        <v>316</v>
      </c>
      <c r="D1313" s="228">
        <v>112</v>
      </c>
      <c r="E1313" s="229" t="s">
        <v>795</v>
      </c>
      <c r="F1313" s="230" t="s">
        <v>28</v>
      </c>
      <c r="G1313" s="242" t="s">
        <v>315</v>
      </c>
      <c r="H1313" s="271">
        <v>1</v>
      </c>
      <c r="I1313" s="388">
        <f>INT(L1313*$Q$139)</f>
        <v>0</v>
      </c>
      <c r="J1313" s="388">
        <f>INT(M1313*$R$139)</f>
        <v>0</v>
      </c>
      <c r="K1313" s="388">
        <f>SUM(I1313:J1313)</f>
        <v>0</v>
      </c>
      <c r="L1313" s="167"/>
      <c r="M1313" s="167"/>
      <c r="N1313" s="167">
        <f>SUM(L1313,M1313)</f>
        <v>0</v>
      </c>
      <c r="O1313" s="640">
        <f t="shared" si="213"/>
        <v>0</v>
      </c>
      <c r="Q1313" s="635">
        <f t="shared" si="214"/>
        <v>0</v>
      </c>
    </row>
    <row r="1314" spans="1:20" s="510" customFormat="1" ht="72" hidden="1" customHeight="1">
      <c r="A1314" s="501"/>
      <c r="B1314" s="502"/>
      <c r="C1314" s="503" t="s">
        <v>312</v>
      </c>
      <c r="D1314" s="504"/>
      <c r="E1314" s="505"/>
      <c r="F1314" s="504"/>
      <c r="G1314" s="504"/>
      <c r="H1314" s="504"/>
      <c r="I1314" s="506">
        <f>SUM(I1315,I1316)</f>
        <v>15144</v>
      </c>
      <c r="J1314" s="506">
        <f>SUM(J1315,J1316)</f>
        <v>3500</v>
      </c>
      <c r="K1314" s="506">
        <f>I1314+J1314</f>
        <v>18644</v>
      </c>
      <c r="L1314" s="507">
        <f>SUM(L1315,L1316)</f>
        <v>15144</v>
      </c>
      <c r="M1314" s="507">
        <f>SUM(M1315,M1316)</f>
        <v>3500</v>
      </c>
      <c r="N1314" s="507">
        <f>L1314+M1314</f>
        <v>18644</v>
      </c>
      <c r="O1314" s="640">
        <f t="shared" si="213"/>
        <v>1400</v>
      </c>
      <c r="P1314" s="508"/>
      <c r="Q1314" s="635">
        <f t="shared" si="214"/>
        <v>1400</v>
      </c>
      <c r="R1314" s="508"/>
      <c r="S1314" s="508"/>
      <c r="T1314" s="509"/>
    </row>
    <row r="1315" spans="1:20" ht="54.75" customHeight="1">
      <c r="A1315" s="273" t="s">
        <v>632</v>
      </c>
      <c r="B1315" s="481" t="s">
        <v>1033</v>
      </c>
      <c r="C1315" s="490" t="s">
        <v>316</v>
      </c>
      <c r="D1315" s="483">
        <v>8100</v>
      </c>
      <c r="E1315" s="484">
        <v>108288</v>
      </c>
      <c r="F1315" s="526" t="s">
        <v>28</v>
      </c>
      <c r="G1315" s="488" t="s">
        <v>315</v>
      </c>
      <c r="H1315" s="491">
        <v>1</v>
      </c>
      <c r="I1315" s="473">
        <f>INT(L1315*$Q$139)</f>
        <v>15144</v>
      </c>
      <c r="J1315" s="473">
        <f>INT(M1315*$R$139)</f>
        <v>3500</v>
      </c>
      <c r="K1315" s="473">
        <f>SUM(I1315:J1315)</f>
        <v>18644</v>
      </c>
      <c r="L1315" s="167">
        <v>15144</v>
      </c>
      <c r="M1315" s="167">
        <v>3500</v>
      </c>
      <c r="N1315" s="167">
        <f>SUM(L1315,M1315)</f>
        <v>18644</v>
      </c>
      <c r="O1315" s="640">
        <f t="shared" si="213"/>
        <v>1400</v>
      </c>
      <c r="P1315" s="405"/>
      <c r="Q1315" s="635">
        <f t="shared" si="214"/>
        <v>1400</v>
      </c>
    </row>
    <row r="1316" spans="1:20" ht="54.75" hidden="1" customHeight="1">
      <c r="A1316" s="273"/>
      <c r="B1316" s="481" t="s">
        <v>1196</v>
      </c>
      <c r="C1316" s="490" t="s">
        <v>1187</v>
      </c>
      <c r="D1316" s="483">
        <v>112</v>
      </c>
      <c r="E1316" s="484">
        <v>108288</v>
      </c>
      <c r="F1316" s="526" t="s">
        <v>28</v>
      </c>
      <c r="G1316" s="488" t="s">
        <v>1075</v>
      </c>
      <c r="H1316" s="489"/>
      <c r="I1316" s="473">
        <f>INT(L1316*$Q$139)</f>
        <v>0</v>
      </c>
      <c r="J1316" s="473">
        <f>INT(M1316*$R$139)</f>
        <v>0</v>
      </c>
      <c r="K1316" s="473">
        <f>SUM(I1316:J1316)</f>
        <v>0</v>
      </c>
      <c r="L1316" s="167"/>
      <c r="M1316" s="167"/>
      <c r="N1316" s="167">
        <f>L1316+M1316</f>
        <v>0</v>
      </c>
      <c r="O1316" s="640">
        <f t="shared" si="213"/>
        <v>0</v>
      </c>
      <c r="P1316" s="405"/>
      <c r="Q1316" s="635">
        <f t="shared" si="214"/>
        <v>0</v>
      </c>
    </row>
    <row r="1317" spans="1:20" ht="77.25" hidden="1" customHeight="1" thickBot="1">
      <c r="A1317" s="527"/>
      <c r="B1317" s="1287" t="s">
        <v>1276</v>
      </c>
      <c r="C1317" s="1287"/>
      <c r="D1317" s="1287"/>
      <c r="E1317" s="1287"/>
      <c r="F1317" s="1287"/>
      <c r="G1317" s="1287"/>
      <c r="H1317" s="1287"/>
      <c r="I1317" s="1287"/>
      <c r="J1317" s="1287"/>
      <c r="K1317" s="1287"/>
      <c r="L1317" s="536"/>
      <c r="M1317" s="536"/>
      <c r="N1317" s="536"/>
      <c r="O1317" s="640">
        <f t="shared" si="213"/>
        <v>0</v>
      </c>
      <c r="P1317" s="405"/>
      <c r="Q1317" s="635">
        <f t="shared" si="214"/>
        <v>0</v>
      </c>
    </row>
    <row r="1318" spans="1:20" ht="27.75" hidden="1" customHeight="1">
      <c r="C1318" s="1204" t="s">
        <v>51</v>
      </c>
      <c r="D1318" s="1204"/>
      <c r="E1318" s="1204"/>
      <c r="F1318" s="1204"/>
      <c r="H1318" s="1243" t="s">
        <v>11</v>
      </c>
      <c r="I1318" s="1244"/>
      <c r="J1318" s="1244"/>
      <c r="K1318" s="1245"/>
      <c r="L1318" s="337"/>
      <c r="M1318" s="337"/>
      <c r="N1318" s="337"/>
      <c r="O1318" s="640">
        <f t="shared" si="213"/>
        <v>0</v>
      </c>
      <c r="P1318" s="27"/>
      <c r="Q1318" s="635">
        <f t="shared" si="214"/>
        <v>0</v>
      </c>
      <c r="R1318" s="27"/>
      <c r="S1318" s="27"/>
      <c r="T1318" s="27"/>
    </row>
    <row r="1319" spans="1:20" ht="27.75" hidden="1" customHeight="1">
      <c r="C1319" s="1204" t="s">
        <v>52</v>
      </c>
      <c r="D1319" s="1204"/>
      <c r="E1319" s="1204"/>
      <c r="F1319" s="1204"/>
      <c r="H1319" s="1208" t="s">
        <v>21</v>
      </c>
      <c r="I1319" s="1209"/>
      <c r="J1319" s="1209"/>
      <c r="K1319" s="1210"/>
      <c r="L1319" s="336"/>
      <c r="M1319" s="336"/>
      <c r="N1319" s="336"/>
      <c r="O1319" s="640">
        <f t="shared" si="213"/>
        <v>0</v>
      </c>
      <c r="P1319" s="27"/>
      <c r="Q1319" s="635">
        <f t="shared" si="214"/>
        <v>0</v>
      </c>
      <c r="R1319" s="27"/>
      <c r="S1319" s="27"/>
      <c r="T1319" s="27"/>
    </row>
    <row r="1320" spans="1:20" ht="27.75" hidden="1" customHeight="1">
      <c r="C1320" s="1204" t="s">
        <v>50</v>
      </c>
      <c r="D1320" s="1204"/>
      <c r="E1320" s="1204"/>
      <c r="F1320" s="1204"/>
      <c r="H1320" s="1211"/>
      <c r="I1320" s="1212"/>
      <c r="J1320" s="1212"/>
      <c r="K1320" s="1213"/>
      <c r="L1320" s="336"/>
      <c r="M1320" s="336"/>
      <c r="N1320" s="336"/>
      <c r="O1320" s="640">
        <f t="shared" ref="O1320:O1383" si="219">(J1320/100)*40</f>
        <v>0</v>
      </c>
      <c r="P1320" s="27"/>
      <c r="Q1320" s="635">
        <f t="shared" ref="Q1320:Q1383" si="220">($Q$932*J1320)/100</f>
        <v>0</v>
      </c>
      <c r="R1320" s="27"/>
      <c r="S1320" s="27"/>
      <c r="T1320" s="27"/>
    </row>
    <row r="1321" spans="1:20" ht="39.950000000000003" hidden="1" customHeight="1">
      <c r="C1321" s="1252"/>
      <c r="D1321" s="1252"/>
      <c r="E1321" s="1252"/>
      <c r="F1321" s="1252"/>
      <c r="G1321" s="44"/>
      <c r="H1321" s="1211" t="s">
        <v>22</v>
      </c>
      <c r="I1321" s="1212"/>
      <c r="J1321" s="1212"/>
      <c r="K1321" s="477">
        <f>K1426</f>
        <v>14317270</v>
      </c>
      <c r="L1321" s="336"/>
      <c r="M1321" s="336"/>
      <c r="N1321" s="86"/>
      <c r="O1321" s="640">
        <f t="shared" si="219"/>
        <v>0</v>
      </c>
      <c r="P1321" s="27"/>
      <c r="Q1321" s="635">
        <f t="shared" si="220"/>
        <v>0</v>
      </c>
      <c r="R1321" s="27"/>
      <c r="S1321" s="27"/>
      <c r="T1321" s="27"/>
    </row>
    <row r="1322" spans="1:20" ht="51" hidden="1" customHeight="1" thickBot="1">
      <c r="A1322" s="75"/>
      <c r="B1322" s="75"/>
      <c r="C1322" s="65"/>
      <c r="D1322" s="65"/>
      <c r="E1322" s="65"/>
      <c r="F1322" s="10"/>
      <c r="G1322" s="10"/>
      <c r="H1322" s="1283" t="s">
        <v>13</v>
      </c>
      <c r="I1322" s="1284"/>
      <c r="J1322" s="1284"/>
      <c r="K1322" s="1285"/>
      <c r="L1322" s="336"/>
      <c r="M1322" s="336"/>
      <c r="N1322" s="336"/>
      <c r="O1322" s="640">
        <f t="shared" si="219"/>
        <v>0</v>
      </c>
      <c r="P1322" s="27"/>
      <c r="Q1322" s="635">
        <f t="shared" si="220"/>
        <v>0</v>
      </c>
      <c r="R1322" s="27"/>
      <c r="S1322" s="27"/>
      <c r="T1322" s="27"/>
    </row>
    <row r="1323" spans="1:20" ht="17.100000000000001" hidden="1" customHeight="1">
      <c r="A1323" s="75"/>
      <c r="B1323" s="75"/>
      <c r="C1323" s="65"/>
      <c r="D1323" s="65"/>
      <c r="E1323" s="65"/>
      <c r="F1323" s="10"/>
      <c r="G1323" s="10"/>
      <c r="H1323" s="20"/>
      <c r="I1323" s="20"/>
      <c r="J1323" s="20"/>
      <c r="K1323" s="20"/>
      <c r="L1323" s="20"/>
      <c r="M1323" s="20"/>
      <c r="N1323" s="20"/>
      <c r="O1323" s="640">
        <f t="shared" si="219"/>
        <v>0</v>
      </c>
      <c r="P1323" s="27"/>
      <c r="Q1323" s="635">
        <f t="shared" si="220"/>
        <v>0</v>
      </c>
      <c r="R1323" s="27"/>
      <c r="S1323" s="27"/>
      <c r="T1323" s="27"/>
    </row>
    <row r="1324" spans="1:20" ht="39.950000000000003" hidden="1" customHeight="1">
      <c r="A1324" s="346"/>
      <c r="B1324" s="1226" t="s">
        <v>1037</v>
      </c>
      <c r="C1324" s="1226"/>
      <c r="D1324" s="1226"/>
      <c r="E1324" s="1226"/>
      <c r="F1324" s="1226"/>
      <c r="G1324" s="1226"/>
      <c r="H1324" s="1226"/>
      <c r="I1324" s="1226"/>
      <c r="J1324" s="1226"/>
      <c r="K1324" s="1226"/>
      <c r="L1324" s="346"/>
      <c r="M1324" s="346"/>
      <c r="N1324" s="346"/>
      <c r="O1324" s="640">
        <f t="shared" si="219"/>
        <v>0</v>
      </c>
      <c r="P1324" s="27"/>
      <c r="Q1324" s="635">
        <f t="shared" si="220"/>
        <v>0</v>
      </c>
      <c r="R1324" s="27"/>
      <c r="S1324" s="27"/>
      <c r="T1324" s="27"/>
    </row>
    <row r="1325" spans="1:20" ht="20.100000000000001" hidden="1" customHeight="1">
      <c r="A1325" s="46"/>
      <c r="B1325" s="46"/>
      <c r="C1325" s="46"/>
      <c r="D1325" s="46"/>
      <c r="E1325" s="46"/>
      <c r="F1325" s="46"/>
      <c r="G1325" s="46"/>
      <c r="H1325" s="46"/>
      <c r="I1325" s="46"/>
      <c r="J1325" s="46"/>
      <c r="K1325" s="46"/>
      <c r="L1325" s="46"/>
      <c r="M1325" s="46"/>
      <c r="N1325" s="46"/>
      <c r="O1325" s="640">
        <f t="shared" si="219"/>
        <v>0</v>
      </c>
      <c r="P1325" s="27"/>
      <c r="Q1325" s="635">
        <f t="shared" si="220"/>
        <v>0</v>
      </c>
      <c r="R1325" s="27"/>
      <c r="S1325" s="27"/>
      <c r="T1325" s="27"/>
    </row>
    <row r="1326" spans="1:20" s="500" customFormat="1" ht="90" hidden="1">
      <c r="A1326" s="496" t="s">
        <v>14</v>
      </c>
      <c r="B1326" s="497" t="s">
        <v>14</v>
      </c>
      <c r="C1326" s="497" t="s">
        <v>37</v>
      </c>
      <c r="D1326" s="497" t="s">
        <v>440</v>
      </c>
      <c r="E1326" s="497" t="s">
        <v>16</v>
      </c>
      <c r="F1326" s="497" t="s">
        <v>185</v>
      </c>
      <c r="G1326" s="497" t="s">
        <v>178</v>
      </c>
      <c r="H1326" s="497" t="s">
        <v>179</v>
      </c>
      <c r="I1326" s="497" t="s">
        <v>180</v>
      </c>
      <c r="J1326" s="497" t="s">
        <v>1275</v>
      </c>
      <c r="K1326" s="497" t="s">
        <v>200</v>
      </c>
      <c r="L1326" s="496" t="s">
        <v>180</v>
      </c>
      <c r="M1326" s="496" t="s">
        <v>181</v>
      </c>
      <c r="N1326" s="496" t="s">
        <v>200</v>
      </c>
      <c r="O1326" s="640" t="e">
        <f t="shared" si="219"/>
        <v>#VALUE!</v>
      </c>
      <c r="P1326" s="498"/>
      <c r="Q1326" s="635" t="e">
        <f t="shared" si="220"/>
        <v>#VALUE!</v>
      </c>
      <c r="R1326" s="498"/>
      <c r="S1326" s="498"/>
      <c r="T1326" s="499"/>
    </row>
    <row r="1327" spans="1:20" s="579" customFormat="1" ht="72.75" customHeight="1">
      <c r="A1327" s="572"/>
      <c r="B1327" s="572"/>
      <c r="C1327" s="584" t="s">
        <v>820</v>
      </c>
      <c r="D1327" s="574"/>
      <c r="E1327" s="574"/>
      <c r="F1327" s="575" t="s">
        <v>1085</v>
      </c>
      <c r="G1327" s="576"/>
      <c r="H1327" s="576"/>
      <c r="I1327" s="577">
        <f>I1328+I1330+I1332+I1334+I1339</f>
        <v>63499</v>
      </c>
      <c r="J1327" s="577">
        <f>J1328+J1330+J1332+J1334+J1339</f>
        <v>7500</v>
      </c>
      <c r="K1327" s="577">
        <f>I1327+J1327</f>
        <v>70999</v>
      </c>
      <c r="L1327" s="578">
        <f>L1328+L1330+L1332+L1334+L1339</f>
        <v>63499</v>
      </c>
      <c r="M1327" s="578">
        <f>M1328+M1330+M1332+M1334+M1339</f>
        <v>7500</v>
      </c>
      <c r="N1327" s="578">
        <f>L1327+M1327</f>
        <v>70999</v>
      </c>
      <c r="O1327" s="644">
        <f t="shared" si="219"/>
        <v>3000</v>
      </c>
      <c r="Q1327" s="635">
        <f t="shared" si="220"/>
        <v>3000</v>
      </c>
    </row>
    <row r="1328" spans="1:20" s="510" customFormat="1" ht="72" hidden="1" customHeight="1">
      <c r="A1328" s="501"/>
      <c r="B1328" s="502"/>
      <c r="C1328" s="503" t="s">
        <v>292</v>
      </c>
      <c r="D1328" s="504"/>
      <c r="E1328" s="505"/>
      <c r="F1328" s="504"/>
      <c r="G1328" s="504"/>
      <c r="H1328" s="504"/>
      <c r="I1328" s="506">
        <f>I1329</f>
        <v>0</v>
      </c>
      <c r="J1328" s="506">
        <f>J1329</f>
        <v>1000</v>
      </c>
      <c r="K1328" s="506">
        <f>I1328+J1328</f>
        <v>1000</v>
      </c>
      <c r="L1328" s="507">
        <f>L1329</f>
        <v>0</v>
      </c>
      <c r="M1328" s="507">
        <f>M1329</f>
        <v>1000</v>
      </c>
      <c r="N1328" s="507">
        <f>L1328+M1328</f>
        <v>1000</v>
      </c>
      <c r="O1328" s="640">
        <f t="shared" si="219"/>
        <v>400</v>
      </c>
      <c r="P1328" s="508"/>
      <c r="Q1328" s="635">
        <f t="shared" si="220"/>
        <v>400</v>
      </c>
      <c r="R1328" s="508"/>
      <c r="S1328" s="508"/>
      <c r="T1328" s="509"/>
    </row>
    <row r="1329" spans="1:20" ht="54.75" customHeight="1">
      <c r="A1329" s="273"/>
      <c r="B1329" s="481" t="s">
        <v>1199</v>
      </c>
      <c r="C1329" s="490" t="s">
        <v>1224</v>
      </c>
      <c r="D1329" s="483">
        <v>8100</v>
      </c>
      <c r="E1329" s="484">
        <v>108288</v>
      </c>
      <c r="F1329" s="526" t="s">
        <v>819</v>
      </c>
      <c r="G1329" s="488" t="s">
        <v>910</v>
      </c>
      <c r="H1329" s="491">
        <v>1</v>
      </c>
      <c r="I1329" s="473">
        <f>INT(L1329*$Q$139)</f>
        <v>0</v>
      </c>
      <c r="J1329" s="473">
        <f>INT(M1329*$R$139)</f>
        <v>1000</v>
      </c>
      <c r="K1329" s="473">
        <f>SUM(I1329:J1329)</f>
        <v>1000</v>
      </c>
      <c r="L1329" s="167"/>
      <c r="M1329" s="167">
        <v>1000</v>
      </c>
      <c r="N1329" s="167">
        <f>SUM(L1329,M1329)</f>
        <v>1000</v>
      </c>
      <c r="O1329" s="640">
        <f t="shared" si="219"/>
        <v>400</v>
      </c>
      <c r="P1329" s="405"/>
      <c r="Q1329" s="635">
        <f t="shared" si="220"/>
        <v>400</v>
      </c>
    </row>
    <row r="1330" spans="1:20" s="510" customFormat="1" ht="72" hidden="1" customHeight="1">
      <c r="A1330" s="501"/>
      <c r="B1330" s="502"/>
      <c r="C1330" s="503" t="s">
        <v>141</v>
      </c>
      <c r="D1330" s="504"/>
      <c r="E1330" s="505"/>
      <c r="F1330" s="504"/>
      <c r="G1330" s="504"/>
      <c r="H1330" s="504"/>
      <c r="I1330" s="506">
        <f t="shared" ref="I1330:N1330" si="221">SUM(I1331:I1331)</f>
        <v>36999</v>
      </c>
      <c r="J1330" s="506">
        <f t="shared" si="221"/>
        <v>0</v>
      </c>
      <c r="K1330" s="506">
        <f t="shared" si="221"/>
        <v>36999</v>
      </c>
      <c r="L1330" s="507">
        <f t="shared" si="221"/>
        <v>36999</v>
      </c>
      <c r="M1330" s="507">
        <f t="shared" si="221"/>
        <v>0</v>
      </c>
      <c r="N1330" s="507">
        <f t="shared" si="221"/>
        <v>36999</v>
      </c>
      <c r="O1330" s="640">
        <f t="shared" si="219"/>
        <v>0</v>
      </c>
      <c r="P1330" s="508"/>
      <c r="Q1330" s="635">
        <f t="shared" si="220"/>
        <v>0</v>
      </c>
      <c r="R1330" s="508"/>
      <c r="S1330" s="508"/>
      <c r="T1330" s="509"/>
    </row>
    <row r="1331" spans="1:20" ht="54.75" hidden="1" customHeight="1">
      <c r="A1331" s="273" t="s">
        <v>615</v>
      </c>
      <c r="B1331" s="481" t="s">
        <v>1197</v>
      </c>
      <c r="C1331" s="490" t="s">
        <v>317</v>
      </c>
      <c r="D1331" s="483">
        <v>8100</v>
      </c>
      <c r="E1331" s="484">
        <v>108288</v>
      </c>
      <c r="F1331" s="526" t="s">
        <v>819</v>
      </c>
      <c r="G1331" s="488" t="s">
        <v>79</v>
      </c>
      <c r="H1331" s="489">
        <v>1</v>
      </c>
      <c r="I1331" s="473">
        <f>INT(L1331*$Q$139)</f>
        <v>36999</v>
      </c>
      <c r="J1331" s="473">
        <f>INT(M1331*$R$139)</f>
        <v>0</v>
      </c>
      <c r="K1331" s="473">
        <f>SUM(I1331:J1331)</f>
        <v>36999</v>
      </c>
      <c r="L1331" s="167">
        <v>36999</v>
      </c>
      <c r="M1331" s="167"/>
      <c r="N1331" s="167">
        <f>SUM(L1331,M1331)</f>
        <v>36999</v>
      </c>
      <c r="O1331" s="640">
        <f t="shared" si="219"/>
        <v>0</v>
      </c>
      <c r="P1331" s="405"/>
      <c r="Q1331" s="635">
        <f t="shared" si="220"/>
        <v>0</v>
      </c>
    </row>
    <row r="1332" spans="1:20" s="510" customFormat="1" ht="72" hidden="1" customHeight="1">
      <c r="A1332" s="501"/>
      <c r="B1332" s="502"/>
      <c r="C1332" s="503" t="s">
        <v>310</v>
      </c>
      <c r="D1332" s="504"/>
      <c r="E1332" s="505"/>
      <c r="F1332" s="504"/>
      <c r="G1332" s="504"/>
      <c r="H1332" s="504"/>
      <c r="I1332" s="506">
        <f>I1333</f>
        <v>0</v>
      </c>
      <c r="J1332" s="506">
        <f>J1333</f>
        <v>6500</v>
      </c>
      <c r="K1332" s="506">
        <f>I1332+J1332</f>
        <v>6500</v>
      </c>
      <c r="L1332" s="507">
        <f>L1333</f>
        <v>0</v>
      </c>
      <c r="M1332" s="507">
        <f>M1333</f>
        <v>6500</v>
      </c>
      <c r="N1332" s="507">
        <f>L1332+M1332</f>
        <v>6500</v>
      </c>
      <c r="O1332" s="640">
        <f t="shared" si="219"/>
        <v>2600</v>
      </c>
      <c r="P1332" s="508"/>
      <c r="Q1332" s="635">
        <f t="shared" si="220"/>
        <v>2600</v>
      </c>
      <c r="R1332" s="508"/>
      <c r="S1332" s="508"/>
      <c r="T1332" s="509"/>
    </row>
    <row r="1333" spans="1:20" ht="54.75" customHeight="1">
      <c r="A1333" s="273"/>
      <c r="B1333" s="481" t="s">
        <v>1032</v>
      </c>
      <c r="C1333" s="490" t="s">
        <v>681</v>
      </c>
      <c r="D1333" s="483">
        <v>8100</v>
      </c>
      <c r="E1333" s="484">
        <v>108288</v>
      </c>
      <c r="F1333" s="526" t="s">
        <v>819</v>
      </c>
      <c r="G1333" s="488" t="s">
        <v>1075</v>
      </c>
      <c r="H1333" s="491">
        <v>1</v>
      </c>
      <c r="I1333" s="473">
        <f>INT(L1333*$Q$139)</f>
        <v>0</v>
      </c>
      <c r="J1333" s="473">
        <f>INT(M1333*$R$139)</f>
        <v>6500</v>
      </c>
      <c r="K1333" s="473">
        <f>SUM(I1333:J1333)</f>
        <v>6500</v>
      </c>
      <c r="L1333" s="167"/>
      <c r="M1333" s="167">
        <v>6500</v>
      </c>
      <c r="N1333" s="167">
        <f>L1333+M1333</f>
        <v>6500</v>
      </c>
      <c r="O1333" s="640">
        <f t="shared" si="219"/>
        <v>2600</v>
      </c>
      <c r="P1333" s="405"/>
      <c r="Q1333" s="635">
        <f t="shared" si="220"/>
        <v>2600</v>
      </c>
    </row>
    <row r="1334" spans="1:20" s="510" customFormat="1" ht="72" hidden="1" customHeight="1">
      <c r="A1334" s="501"/>
      <c r="B1334" s="502"/>
      <c r="C1334" s="503" t="s">
        <v>397</v>
      </c>
      <c r="D1334" s="504"/>
      <c r="E1334" s="505"/>
      <c r="F1334" s="504"/>
      <c r="G1334" s="504"/>
      <c r="H1334" s="504"/>
      <c r="I1334" s="506">
        <f>I1335</f>
        <v>6500</v>
      </c>
      <c r="J1334" s="506">
        <f>J1335</f>
        <v>0</v>
      </c>
      <c r="K1334" s="506">
        <f>I1334</f>
        <v>6500</v>
      </c>
      <c r="L1334" s="507">
        <f>L1335</f>
        <v>6500</v>
      </c>
      <c r="M1334" s="507">
        <f>M1335</f>
        <v>0</v>
      </c>
      <c r="N1334" s="507">
        <f>L1334</f>
        <v>6500</v>
      </c>
      <c r="O1334" s="640">
        <f t="shared" si="219"/>
        <v>0</v>
      </c>
      <c r="P1334" s="508"/>
      <c r="Q1334" s="635">
        <f t="shared" si="220"/>
        <v>0</v>
      </c>
      <c r="R1334" s="508"/>
      <c r="S1334" s="508"/>
      <c r="T1334" s="509"/>
    </row>
    <row r="1335" spans="1:20" ht="54.75" hidden="1" customHeight="1">
      <c r="A1335" s="273" t="s">
        <v>653</v>
      </c>
      <c r="B1335" s="481" t="s">
        <v>1031</v>
      </c>
      <c r="C1335" s="490" t="s">
        <v>319</v>
      </c>
      <c r="D1335" s="483">
        <v>8100</v>
      </c>
      <c r="E1335" s="484" t="s">
        <v>686</v>
      </c>
      <c r="F1335" s="526" t="s">
        <v>819</v>
      </c>
      <c r="G1335" s="488" t="s">
        <v>18</v>
      </c>
      <c r="H1335" s="489">
        <v>12</v>
      </c>
      <c r="I1335" s="473">
        <f>INT(L1335*$Q$139)</f>
        <v>6500</v>
      </c>
      <c r="J1335" s="473">
        <f>INT(M1335*$R$139)</f>
        <v>0</v>
      </c>
      <c r="K1335" s="473">
        <f>SUM(I1335:J1335)</f>
        <v>6500</v>
      </c>
      <c r="L1335" s="167">
        <v>6500</v>
      </c>
      <c r="M1335" s="167"/>
      <c r="N1335" s="167">
        <f>L1335</f>
        <v>6500</v>
      </c>
      <c r="O1335" s="640">
        <f t="shared" si="219"/>
        <v>0</v>
      </c>
      <c r="P1335" s="405"/>
      <c r="Q1335" s="635">
        <f t="shared" si="220"/>
        <v>0</v>
      </c>
    </row>
    <row r="1336" spans="1:20" ht="41.25" hidden="1" customHeight="1">
      <c r="A1336" s="149"/>
      <c r="B1336" s="149"/>
      <c r="C1336" s="143" t="s">
        <v>274</v>
      </c>
      <c r="D1336" s="144"/>
      <c r="E1336" s="144"/>
      <c r="F1336" s="137"/>
      <c r="G1336" s="143"/>
      <c r="H1336" s="135"/>
      <c r="I1336" s="391">
        <f t="shared" ref="I1336:N1336" si="222">SUM(I1337:I1338)</f>
        <v>0</v>
      </c>
      <c r="J1336" s="391">
        <f t="shared" si="222"/>
        <v>0</v>
      </c>
      <c r="K1336" s="391">
        <f t="shared" si="222"/>
        <v>0</v>
      </c>
      <c r="L1336" s="391">
        <f t="shared" si="222"/>
        <v>0</v>
      </c>
      <c r="M1336" s="391">
        <f t="shared" si="222"/>
        <v>0</v>
      </c>
      <c r="N1336" s="391">
        <f t="shared" si="222"/>
        <v>0</v>
      </c>
      <c r="O1336" s="640">
        <f t="shared" si="219"/>
        <v>0</v>
      </c>
      <c r="Q1336" s="635">
        <f t="shared" si="220"/>
        <v>0</v>
      </c>
    </row>
    <row r="1337" spans="1:20" ht="48.75" hidden="1" customHeight="1">
      <c r="A1337" s="273" t="s">
        <v>836</v>
      </c>
      <c r="B1337" s="273" t="s">
        <v>836</v>
      </c>
      <c r="C1337" s="183" t="s">
        <v>681</v>
      </c>
      <c r="D1337" s="228">
        <v>112</v>
      </c>
      <c r="E1337" s="229" t="s">
        <v>795</v>
      </c>
      <c r="F1337" s="230" t="s">
        <v>819</v>
      </c>
      <c r="G1337" s="237" t="s">
        <v>725</v>
      </c>
      <c r="H1337" s="251">
        <v>1</v>
      </c>
      <c r="I1337" s="388">
        <f>INT(L1337*$Q$139)</f>
        <v>0</v>
      </c>
      <c r="J1337" s="388">
        <f>INT(M1337*$R$139)</f>
        <v>0</v>
      </c>
      <c r="K1337" s="388">
        <f>SUM(I1337:J1337)</f>
        <v>0</v>
      </c>
      <c r="L1337" s="167"/>
      <c r="M1337" s="167"/>
      <c r="N1337" s="167">
        <f>SUM(L1337,M1337)</f>
        <v>0</v>
      </c>
      <c r="O1337" s="640">
        <f t="shared" si="219"/>
        <v>0</v>
      </c>
      <c r="Q1337" s="635">
        <f t="shared" si="220"/>
        <v>0</v>
      </c>
    </row>
    <row r="1338" spans="1:20" ht="48.75" hidden="1" customHeight="1">
      <c r="A1338" s="273" t="s">
        <v>838</v>
      </c>
      <c r="B1338" s="273" t="s">
        <v>838</v>
      </c>
      <c r="C1338" s="241" t="s">
        <v>316</v>
      </c>
      <c r="D1338" s="228">
        <v>112</v>
      </c>
      <c r="E1338" s="229" t="s">
        <v>795</v>
      </c>
      <c r="F1338" s="230" t="s">
        <v>819</v>
      </c>
      <c r="G1338" s="242" t="s">
        <v>315</v>
      </c>
      <c r="H1338" s="271">
        <v>1</v>
      </c>
      <c r="I1338" s="388">
        <f>INT(L1338*$Q$139)</f>
        <v>0</v>
      </c>
      <c r="J1338" s="388">
        <f>INT(M1338*$R$139)</f>
        <v>0</v>
      </c>
      <c r="K1338" s="388">
        <f>SUM(I1338:J1338)</f>
        <v>0</v>
      </c>
      <c r="L1338" s="167"/>
      <c r="M1338" s="167"/>
      <c r="N1338" s="167">
        <f>SUM(L1338,M1338)</f>
        <v>0</v>
      </c>
      <c r="O1338" s="640">
        <f t="shared" si="219"/>
        <v>0</v>
      </c>
      <c r="Q1338" s="635">
        <f t="shared" si="220"/>
        <v>0</v>
      </c>
    </row>
    <row r="1339" spans="1:20" s="510" customFormat="1" ht="72" hidden="1" customHeight="1">
      <c r="A1339" s="501"/>
      <c r="B1339" s="502"/>
      <c r="C1339" s="503" t="s">
        <v>312</v>
      </c>
      <c r="D1339" s="504"/>
      <c r="E1339" s="505"/>
      <c r="F1339" s="504"/>
      <c r="G1339" s="504"/>
      <c r="H1339" s="504"/>
      <c r="I1339" s="506">
        <f>SUM(I1340)</f>
        <v>20000</v>
      </c>
      <c r="J1339" s="506">
        <f>SUM(J1340)</f>
        <v>0</v>
      </c>
      <c r="K1339" s="506">
        <f>SUM(I1339,J1339)</f>
        <v>20000</v>
      </c>
      <c r="L1339" s="507">
        <f>SUM(L1340)</f>
        <v>20000</v>
      </c>
      <c r="M1339" s="507">
        <f>SUM(M1340)</f>
        <v>0</v>
      </c>
      <c r="N1339" s="507">
        <f>SUM(L1339,M1339)</f>
        <v>20000</v>
      </c>
      <c r="O1339" s="640">
        <f t="shared" si="219"/>
        <v>0</v>
      </c>
      <c r="P1339" s="508"/>
      <c r="Q1339" s="635">
        <f t="shared" si="220"/>
        <v>0</v>
      </c>
      <c r="R1339" s="508"/>
      <c r="S1339" s="508"/>
      <c r="T1339" s="509"/>
    </row>
    <row r="1340" spans="1:20" ht="54.75" hidden="1" customHeight="1">
      <c r="A1340" s="273" t="s">
        <v>632</v>
      </c>
      <c r="B1340" s="481" t="s">
        <v>1033</v>
      </c>
      <c r="C1340" s="490" t="s">
        <v>316</v>
      </c>
      <c r="D1340" s="483">
        <v>8100</v>
      </c>
      <c r="E1340" s="484">
        <v>108288</v>
      </c>
      <c r="F1340" s="526" t="s">
        <v>819</v>
      </c>
      <c r="G1340" s="488" t="s">
        <v>315</v>
      </c>
      <c r="H1340" s="489">
        <v>1</v>
      </c>
      <c r="I1340" s="473">
        <f>INT(L1340*$Q$139)</f>
        <v>20000</v>
      </c>
      <c r="J1340" s="473">
        <f>INT(M1340*$R$139)</f>
        <v>0</v>
      </c>
      <c r="K1340" s="473">
        <f>SUM(I1340:J1340)</f>
        <v>20000</v>
      </c>
      <c r="L1340" s="167">
        <v>20000</v>
      </c>
      <c r="M1340" s="167"/>
      <c r="N1340" s="167">
        <f>SUM(L1340,M1340)</f>
        <v>20000</v>
      </c>
      <c r="O1340" s="640">
        <f t="shared" si="219"/>
        <v>0</v>
      </c>
      <c r="P1340" s="405"/>
      <c r="Q1340" s="635">
        <f t="shared" si="220"/>
        <v>0</v>
      </c>
    </row>
    <row r="1341" spans="1:20" s="579" customFormat="1" ht="46.5" customHeight="1">
      <c r="A1341" s="572"/>
      <c r="B1341" s="572"/>
      <c r="C1341" s="573" t="s">
        <v>35</v>
      </c>
      <c r="D1341" s="574"/>
      <c r="E1341" s="574"/>
      <c r="F1341" s="575" t="s">
        <v>121</v>
      </c>
      <c r="G1341" s="576"/>
      <c r="H1341" s="576"/>
      <c r="I1341" s="577">
        <f>SUM(I1342,I1344,I1346,I1349)</f>
        <v>96536</v>
      </c>
      <c r="J1341" s="577">
        <f>SUM(J1342,J1344,J1346,J1349)</f>
        <v>24218</v>
      </c>
      <c r="K1341" s="577">
        <f>I1341+J1341</f>
        <v>120754</v>
      </c>
      <c r="L1341" s="578">
        <f>SUM(L1342,L1344,L1346,L1349)</f>
        <v>102286</v>
      </c>
      <c r="M1341" s="578">
        <f>SUM(M1342,M1344,M1346,M1349)</f>
        <v>24218</v>
      </c>
      <c r="N1341" s="578">
        <f>L1341+M1341</f>
        <v>126504</v>
      </c>
      <c r="O1341" s="644">
        <f t="shared" si="219"/>
        <v>9687.2000000000007</v>
      </c>
      <c r="Q1341" s="635">
        <f t="shared" si="220"/>
        <v>9687.2000000000007</v>
      </c>
    </row>
    <row r="1342" spans="1:20" s="510" customFormat="1" ht="72" hidden="1" customHeight="1">
      <c r="A1342" s="501"/>
      <c r="B1342" s="502"/>
      <c r="C1342" s="503" t="s">
        <v>141</v>
      </c>
      <c r="D1342" s="504"/>
      <c r="E1342" s="505"/>
      <c r="F1342" s="504"/>
      <c r="G1342" s="504"/>
      <c r="H1342" s="504"/>
      <c r="I1342" s="506">
        <f t="shared" ref="I1342:N1342" si="223">SUM(I1343:I1343)</f>
        <v>96536</v>
      </c>
      <c r="J1342" s="506">
        <f t="shared" si="223"/>
        <v>0</v>
      </c>
      <c r="K1342" s="506">
        <f t="shared" si="223"/>
        <v>96536</v>
      </c>
      <c r="L1342" s="507">
        <f t="shared" si="223"/>
        <v>96536</v>
      </c>
      <c r="M1342" s="507">
        <f t="shared" si="223"/>
        <v>0</v>
      </c>
      <c r="N1342" s="507">
        <f t="shared" si="223"/>
        <v>96536</v>
      </c>
      <c r="O1342" s="640">
        <f t="shared" si="219"/>
        <v>0</v>
      </c>
      <c r="P1342" s="508"/>
      <c r="Q1342" s="635">
        <f t="shared" si="220"/>
        <v>0</v>
      </c>
      <c r="R1342" s="508"/>
      <c r="S1342" s="508"/>
      <c r="T1342" s="509"/>
    </row>
    <row r="1343" spans="1:20" ht="54.75" hidden="1" customHeight="1">
      <c r="A1343" s="273" t="s">
        <v>615</v>
      </c>
      <c r="B1343" s="481" t="s">
        <v>1197</v>
      </c>
      <c r="C1343" s="490" t="s">
        <v>317</v>
      </c>
      <c r="D1343" s="483">
        <v>8100</v>
      </c>
      <c r="E1343" s="484">
        <v>108288</v>
      </c>
      <c r="F1343" s="526" t="s">
        <v>29</v>
      </c>
      <c r="G1343" s="488" t="s">
        <v>79</v>
      </c>
      <c r="H1343" s="489">
        <v>1</v>
      </c>
      <c r="I1343" s="473">
        <f>INT(L1343*$Q$139)</f>
        <v>96536</v>
      </c>
      <c r="J1343" s="473">
        <f>INT(M1343*$R$139)</f>
        <v>0</v>
      </c>
      <c r="K1343" s="473">
        <f>SUM(I1343:J1343)</f>
        <v>96536</v>
      </c>
      <c r="L1343" s="167">
        <v>96536</v>
      </c>
      <c r="M1343" s="167"/>
      <c r="N1343" s="167">
        <f>SUM(L1343,M1343)</f>
        <v>96536</v>
      </c>
      <c r="O1343" s="640">
        <f t="shared" si="219"/>
        <v>0</v>
      </c>
      <c r="P1343" s="405"/>
      <c r="Q1343" s="635">
        <f t="shared" si="220"/>
        <v>0</v>
      </c>
    </row>
    <row r="1344" spans="1:20" s="510" customFormat="1" ht="72" hidden="1" customHeight="1">
      <c r="A1344" s="501"/>
      <c r="B1344" s="502"/>
      <c r="C1344" s="503" t="s">
        <v>310</v>
      </c>
      <c r="D1344" s="504"/>
      <c r="E1344" s="505"/>
      <c r="F1344" s="504"/>
      <c r="G1344" s="504"/>
      <c r="H1344" s="504"/>
      <c r="I1344" s="506">
        <f>INT(L1345*$Q$139)</f>
        <v>0</v>
      </c>
      <c r="J1344" s="506">
        <f>SUM(J1345:J1345)</f>
        <v>14377</v>
      </c>
      <c r="K1344" s="506">
        <f>SUM(K1345:K1345)</f>
        <v>14377</v>
      </c>
      <c r="L1344" s="507">
        <f>INT(O1345*$Q$139)</f>
        <v>5750</v>
      </c>
      <c r="M1344" s="507">
        <f>SUM(M1345:M1345)</f>
        <v>14377</v>
      </c>
      <c r="N1344" s="507">
        <f>SUM(N1345:N1345)</f>
        <v>14377</v>
      </c>
      <c r="O1344" s="640">
        <f t="shared" si="219"/>
        <v>5750.8</v>
      </c>
      <c r="P1344" s="508"/>
      <c r="Q1344" s="635">
        <f t="shared" si="220"/>
        <v>5750.8</v>
      </c>
      <c r="R1344" s="508"/>
      <c r="S1344" s="508"/>
      <c r="T1344" s="509"/>
    </row>
    <row r="1345" spans="1:20" ht="54.75" customHeight="1">
      <c r="A1345" s="273"/>
      <c r="B1345" s="481" t="s">
        <v>1032</v>
      </c>
      <c r="C1345" s="490" t="s">
        <v>681</v>
      </c>
      <c r="D1345" s="483">
        <v>8100</v>
      </c>
      <c r="E1345" s="484">
        <v>108288</v>
      </c>
      <c r="F1345" s="526" t="s">
        <v>29</v>
      </c>
      <c r="G1345" s="488" t="s">
        <v>1075</v>
      </c>
      <c r="H1345" s="491">
        <v>1</v>
      </c>
      <c r="I1345" s="473">
        <f>INT(L1345*$Q$139)</f>
        <v>0</v>
      </c>
      <c r="J1345" s="473">
        <f>INT(M1345*$R$139)</f>
        <v>14377</v>
      </c>
      <c r="K1345" s="473">
        <f>SUM(I1345:J1345)</f>
        <v>14377</v>
      </c>
      <c r="L1345" s="167"/>
      <c r="M1345" s="167">
        <v>14377</v>
      </c>
      <c r="N1345" s="167">
        <f>L1345+M1345</f>
        <v>14377</v>
      </c>
      <c r="O1345" s="640">
        <f t="shared" si="219"/>
        <v>5750.8</v>
      </c>
      <c r="P1345" s="405"/>
      <c r="Q1345" s="635">
        <f t="shared" si="220"/>
        <v>5750.8</v>
      </c>
    </row>
    <row r="1346" spans="1:20" ht="41.25" hidden="1" customHeight="1">
      <c r="A1346" s="149"/>
      <c r="B1346" s="149"/>
      <c r="C1346" s="143" t="s">
        <v>274</v>
      </c>
      <c r="D1346" s="144"/>
      <c r="E1346" s="144"/>
      <c r="F1346" s="137"/>
      <c r="G1346" s="143"/>
      <c r="H1346" s="135"/>
      <c r="I1346" s="391">
        <f t="shared" ref="I1346:N1346" si="224">SUM(I1347:I1348)</f>
        <v>0</v>
      </c>
      <c r="J1346" s="391">
        <f t="shared" si="224"/>
        <v>0</v>
      </c>
      <c r="K1346" s="391">
        <f t="shared" si="224"/>
        <v>0</v>
      </c>
      <c r="L1346" s="391">
        <f t="shared" si="224"/>
        <v>0</v>
      </c>
      <c r="M1346" s="391">
        <f t="shared" si="224"/>
        <v>0</v>
      </c>
      <c r="N1346" s="391">
        <f t="shared" si="224"/>
        <v>0</v>
      </c>
      <c r="O1346" s="640">
        <f t="shared" si="219"/>
        <v>0</v>
      </c>
      <c r="Q1346" s="635">
        <f t="shared" si="220"/>
        <v>0</v>
      </c>
    </row>
    <row r="1347" spans="1:20" ht="48.75" hidden="1" customHeight="1">
      <c r="A1347" s="273" t="s">
        <v>836</v>
      </c>
      <c r="B1347" s="273" t="s">
        <v>836</v>
      </c>
      <c r="C1347" s="183" t="s">
        <v>681</v>
      </c>
      <c r="D1347" s="228">
        <v>112</v>
      </c>
      <c r="E1347" s="229" t="s">
        <v>795</v>
      </c>
      <c r="F1347" s="230" t="s">
        <v>29</v>
      </c>
      <c r="G1347" s="237" t="s">
        <v>725</v>
      </c>
      <c r="H1347" s="251">
        <v>1</v>
      </c>
      <c r="I1347" s="388">
        <f>INT(L1347*$Q$139)</f>
        <v>0</v>
      </c>
      <c r="J1347" s="388">
        <f>INT(M1347*$R$139)</f>
        <v>0</v>
      </c>
      <c r="K1347" s="388">
        <f>SUM(I1347:J1347)</f>
        <v>0</v>
      </c>
      <c r="L1347" s="167"/>
      <c r="M1347" s="167"/>
      <c r="N1347" s="167">
        <f>SUM(L1347,M1347)</f>
        <v>0</v>
      </c>
      <c r="O1347" s="640">
        <f t="shared" si="219"/>
        <v>0</v>
      </c>
      <c r="Q1347" s="635">
        <f t="shared" si="220"/>
        <v>0</v>
      </c>
    </row>
    <row r="1348" spans="1:20" ht="48.75" hidden="1" customHeight="1">
      <c r="A1348" s="273" t="s">
        <v>838</v>
      </c>
      <c r="B1348" s="273" t="s">
        <v>838</v>
      </c>
      <c r="C1348" s="241" t="s">
        <v>316</v>
      </c>
      <c r="D1348" s="228">
        <v>112</v>
      </c>
      <c r="E1348" s="229" t="s">
        <v>795</v>
      </c>
      <c r="F1348" s="230" t="s">
        <v>29</v>
      </c>
      <c r="G1348" s="242" t="s">
        <v>315</v>
      </c>
      <c r="H1348" s="271">
        <v>1</v>
      </c>
      <c r="I1348" s="388">
        <f>INT(L1348*$Q$139)</f>
        <v>0</v>
      </c>
      <c r="J1348" s="388">
        <f>INT(M1348*$R$139)</f>
        <v>0</v>
      </c>
      <c r="K1348" s="388">
        <f>SUM(I1348:J1348)</f>
        <v>0</v>
      </c>
      <c r="L1348" s="167"/>
      <c r="M1348" s="167"/>
      <c r="N1348" s="167">
        <f>SUM(L1348,M1348)</f>
        <v>0</v>
      </c>
      <c r="O1348" s="640">
        <f t="shared" si="219"/>
        <v>0</v>
      </c>
      <c r="Q1348" s="635">
        <f t="shared" si="220"/>
        <v>0</v>
      </c>
    </row>
    <row r="1349" spans="1:20" s="510" customFormat="1" ht="72" hidden="1" customHeight="1">
      <c r="A1349" s="501"/>
      <c r="B1349" s="502"/>
      <c r="C1349" s="503" t="s">
        <v>312</v>
      </c>
      <c r="D1349" s="504"/>
      <c r="E1349" s="505"/>
      <c r="F1349" s="504"/>
      <c r="G1349" s="504"/>
      <c r="H1349" s="586"/>
      <c r="I1349" s="506">
        <f>SUM(I1350)</f>
        <v>0</v>
      </c>
      <c r="J1349" s="506">
        <f>SUM(J1350)</f>
        <v>9841</v>
      </c>
      <c r="K1349" s="506">
        <f>SUM(I1349,J1349)</f>
        <v>9841</v>
      </c>
      <c r="L1349" s="507">
        <f>SUM(L1350)</f>
        <v>0</v>
      </c>
      <c r="M1349" s="507">
        <f>SUM(M1350)</f>
        <v>9841</v>
      </c>
      <c r="N1349" s="507">
        <f>SUM(L1349,M1349)</f>
        <v>9841</v>
      </c>
      <c r="O1349" s="640">
        <f t="shared" si="219"/>
        <v>3936.3999999999996</v>
      </c>
      <c r="P1349" s="508"/>
      <c r="Q1349" s="635">
        <f t="shared" si="220"/>
        <v>3936.4</v>
      </c>
      <c r="R1349" s="508"/>
      <c r="S1349" s="508"/>
      <c r="T1349" s="509"/>
    </row>
    <row r="1350" spans="1:20" ht="54.75" customHeight="1">
      <c r="A1350" s="273" t="s">
        <v>632</v>
      </c>
      <c r="B1350" s="481" t="s">
        <v>1033</v>
      </c>
      <c r="C1350" s="490" t="s">
        <v>316</v>
      </c>
      <c r="D1350" s="483">
        <v>8100</v>
      </c>
      <c r="E1350" s="484">
        <v>108288</v>
      </c>
      <c r="F1350" s="526" t="s">
        <v>29</v>
      </c>
      <c r="G1350" s="488" t="s">
        <v>315</v>
      </c>
      <c r="H1350" s="489">
        <v>1</v>
      </c>
      <c r="I1350" s="473">
        <f>INT(L1350*$Q$139)</f>
        <v>0</v>
      </c>
      <c r="J1350" s="473">
        <f>INT(M1350*$R$139)</f>
        <v>9841</v>
      </c>
      <c r="K1350" s="473">
        <f>SUM(I1350:J1350)</f>
        <v>9841</v>
      </c>
      <c r="L1350" s="167"/>
      <c r="M1350" s="167">
        <v>9841</v>
      </c>
      <c r="N1350" s="167">
        <f>SUM(L1350,M1350)</f>
        <v>9841</v>
      </c>
      <c r="O1350" s="640">
        <f t="shared" si="219"/>
        <v>3936.3999999999996</v>
      </c>
      <c r="P1350" s="405"/>
      <c r="Q1350" s="635">
        <f t="shared" si="220"/>
        <v>3936.4</v>
      </c>
    </row>
    <row r="1351" spans="1:20" s="579" customFormat="1" ht="46.5" customHeight="1">
      <c r="A1351" s="572"/>
      <c r="B1351" s="572"/>
      <c r="C1351" s="573" t="s">
        <v>453</v>
      </c>
      <c r="D1351" s="574"/>
      <c r="E1351" s="574"/>
      <c r="F1351" s="575" t="s">
        <v>695</v>
      </c>
      <c r="G1351" s="576"/>
      <c r="H1351" s="576"/>
      <c r="I1351" s="577">
        <f>SUM(I1352,I1354,I1357,I1359)</f>
        <v>57659</v>
      </c>
      <c r="J1351" s="577">
        <f>SUM(J1352,J1354,J1357,J1359)</f>
        <v>13510</v>
      </c>
      <c r="K1351" s="577">
        <f>I1351+J1351</f>
        <v>71169</v>
      </c>
      <c r="L1351" s="578">
        <f>SUM(L1352,L1354,L1357,L1359)</f>
        <v>57659</v>
      </c>
      <c r="M1351" s="578">
        <f>SUM(M1352,M1354,M1357,M1359)</f>
        <v>13510</v>
      </c>
      <c r="N1351" s="578">
        <f>L1351+M1351</f>
        <v>71169</v>
      </c>
      <c r="O1351" s="644">
        <f t="shared" si="219"/>
        <v>5404</v>
      </c>
      <c r="Q1351" s="635">
        <f t="shared" si="220"/>
        <v>5404</v>
      </c>
    </row>
    <row r="1352" spans="1:20" s="510" customFormat="1" ht="72" hidden="1" customHeight="1">
      <c r="A1352" s="501"/>
      <c r="B1352" s="502"/>
      <c r="C1352" s="503" t="s">
        <v>141</v>
      </c>
      <c r="D1352" s="504"/>
      <c r="E1352" s="505"/>
      <c r="F1352" s="504"/>
      <c r="G1352" s="504"/>
      <c r="H1352" s="504"/>
      <c r="I1352" s="506">
        <f>SUM(I1353)</f>
        <v>49680</v>
      </c>
      <c r="J1352" s="506"/>
      <c r="K1352" s="506">
        <f>SUM(I1352,J1352)</f>
        <v>49680</v>
      </c>
      <c r="L1352" s="507">
        <f>SUM(L1353)</f>
        <v>49680</v>
      </c>
      <c r="M1352" s="507"/>
      <c r="N1352" s="507">
        <f>SUM(L1352,M1352)</f>
        <v>49680</v>
      </c>
      <c r="O1352" s="640">
        <f t="shared" si="219"/>
        <v>0</v>
      </c>
      <c r="P1352" s="508"/>
      <c r="Q1352" s="635">
        <f t="shared" si="220"/>
        <v>0</v>
      </c>
      <c r="R1352" s="508"/>
      <c r="S1352" s="508"/>
      <c r="T1352" s="509"/>
    </row>
    <row r="1353" spans="1:20" ht="54.75" hidden="1" customHeight="1">
      <c r="A1353" s="273" t="s">
        <v>615</v>
      </c>
      <c r="B1353" s="481" t="s">
        <v>1197</v>
      </c>
      <c r="C1353" s="490" t="s">
        <v>317</v>
      </c>
      <c r="D1353" s="483">
        <v>8100</v>
      </c>
      <c r="E1353" s="484">
        <v>108288</v>
      </c>
      <c r="F1353" s="526" t="s">
        <v>454</v>
      </c>
      <c r="G1353" s="488" t="s">
        <v>79</v>
      </c>
      <c r="H1353" s="489">
        <v>1</v>
      </c>
      <c r="I1353" s="473">
        <f>INT(L1353*$Q$139)</f>
        <v>49680</v>
      </c>
      <c r="J1353" s="473">
        <f>INT(M1353*$R$139)</f>
        <v>0</v>
      </c>
      <c r="K1353" s="473">
        <f>SUM(I1353:J1353)</f>
        <v>49680</v>
      </c>
      <c r="L1353" s="167">
        <v>49680</v>
      </c>
      <c r="M1353" s="167"/>
      <c r="N1353" s="167">
        <f t="shared" ref="N1353:N1360" si="225">SUM(L1353,M1353)</f>
        <v>49680</v>
      </c>
      <c r="O1353" s="640">
        <f t="shared" si="219"/>
        <v>0</v>
      </c>
      <c r="P1353" s="405"/>
      <c r="Q1353" s="635">
        <f t="shared" si="220"/>
        <v>0</v>
      </c>
    </row>
    <row r="1354" spans="1:20" s="510" customFormat="1" ht="72" hidden="1" customHeight="1">
      <c r="A1354" s="501"/>
      <c r="B1354" s="502"/>
      <c r="C1354" s="503" t="s">
        <v>310</v>
      </c>
      <c r="D1354" s="504"/>
      <c r="E1354" s="505"/>
      <c r="F1354" s="504"/>
      <c r="G1354" s="504"/>
      <c r="H1354" s="504"/>
      <c r="I1354" s="506">
        <f>SUM(I1355:I1356)</f>
        <v>3000</v>
      </c>
      <c r="J1354" s="506">
        <f>SUM(J1355:J1356)</f>
        <v>13510</v>
      </c>
      <c r="K1354" s="506">
        <f>SUM(I1354,J1354)</f>
        <v>16510</v>
      </c>
      <c r="L1354" s="507">
        <f>SUM(L1355:L1356)</f>
        <v>3000</v>
      </c>
      <c r="M1354" s="507">
        <f>SUM(M1355:M1356)</f>
        <v>13510</v>
      </c>
      <c r="N1354" s="507">
        <f>SUM(L1354,M1354)</f>
        <v>16510</v>
      </c>
      <c r="O1354" s="640">
        <f t="shared" si="219"/>
        <v>5404</v>
      </c>
      <c r="P1354" s="508"/>
      <c r="Q1354" s="635">
        <f t="shared" si="220"/>
        <v>5404</v>
      </c>
      <c r="R1354" s="508"/>
      <c r="S1354" s="508"/>
      <c r="T1354" s="509"/>
    </row>
    <row r="1355" spans="1:20" ht="54.75" customHeight="1">
      <c r="A1355" s="273" t="s">
        <v>617</v>
      </c>
      <c r="B1355" s="481" t="s">
        <v>1032</v>
      </c>
      <c r="C1355" s="490" t="s">
        <v>681</v>
      </c>
      <c r="D1355" s="483">
        <v>8100</v>
      </c>
      <c r="E1355" s="484">
        <v>108288</v>
      </c>
      <c r="F1355" s="526" t="s">
        <v>454</v>
      </c>
      <c r="G1355" s="488" t="s">
        <v>725</v>
      </c>
      <c r="H1355" s="489">
        <v>1</v>
      </c>
      <c r="I1355" s="473">
        <f>INT(L1355*$Q$139)</f>
        <v>3000</v>
      </c>
      <c r="J1355" s="473">
        <f>INT(M1355*$R$139)</f>
        <v>13510</v>
      </c>
      <c r="K1355" s="473">
        <f>SUM(I1355:J1355)</f>
        <v>16510</v>
      </c>
      <c r="L1355" s="167">
        <v>3000</v>
      </c>
      <c r="M1355" s="167">
        <v>13510</v>
      </c>
      <c r="N1355" s="167">
        <f t="shared" si="225"/>
        <v>16510</v>
      </c>
      <c r="O1355" s="640">
        <f t="shared" si="219"/>
        <v>5404</v>
      </c>
      <c r="P1355" s="405"/>
      <c r="Q1355" s="635">
        <f t="shared" si="220"/>
        <v>5404</v>
      </c>
    </row>
    <row r="1356" spans="1:20" ht="54.75" hidden="1" customHeight="1">
      <c r="A1356" s="273"/>
      <c r="B1356" s="481" t="s">
        <v>1195</v>
      </c>
      <c r="C1356" s="490" t="s">
        <v>1074</v>
      </c>
      <c r="D1356" s="483">
        <v>112</v>
      </c>
      <c r="E1356" s="484">
        <v>108288</v>
      </c>
      <c r="F1356" s="526" t="s">
        <v>454</v>
      </c>
      <c r="G1356" s="488" t="s">
        <v>1075</v>
      </c>
      <c r="H1356" s="489"/>
      <c r="I1356" s="473">
        <f>INT(L1356*$Q$139)</f>
        <v>0</v>
      </c>
      <c r="J1356" s="473">
        <f>INT(M1356*$R$139)</f>
        <v>0</v>
      </c>
      <c r="K1356" s="473">
        <f>SUM(I1356:J1356)</f>
        <v>0</v>
      </c>
      <c r="L1356" s="167"/>
      <c r="M1356" s="167"/>
      <c r="N1356" s="167">
        <f>L1356+M1356</f>
        <v>0</v>
      </c>
      <c r="O1356" s="640">
        <f t="shared" si="219"/>
        <v>0</v>
      </c>
      <c r="P1356" s="405"/>
      <c r="Q1356" s="635">
        <f t="shared" si="220"/>
        <v>0</v>
      </c>
    </row>
    <row r="1357" spans="1:20" ht="41.25" hidden="1" customHeight="1">
      <c r="A1357" s="149"/>
      <c r="B1357" s="149"/>
      <c r="C1357" s="143" t="s">
        <v>274</v>
      </c>
      <c r="D1357" s="144"/>
      <c r="E1357" s="144"/>
      <c r="F1357" s="137"/>
      <c r="G1357" s="143"/>
      <c r="H1357" s="135"/>
      <c r="I1357" s="391">
        <f t="shared" ref="I1357:N1357" si="226">SUM(I1358:I1358)</f>
        <v>0</v>
      </c>
      <c r="J1357" s="391">
        <f t="shared" si="226"/>
        <v>0</v>
      </c>
      <c r="K1357" s="391">
        <f t="shared" si="226"/>
        <v>0</v>
      </c>
      <c r="L1357" s="391">
        <f t="shared" si="226"/>
        <v>0</v>
      </c>
      <c r="M1357" s="391">
        <f t="shared" si="226"/>
        <v>0</v>
      </c>
      <c r="N1357" s="391">
        <f t="shared" si="226"/>
        <v>0</v>
      </c>
      <c r="O1357" s="640">
        <f t="shared" si="219"/>
        <v>0</v>
      </c>
      <c r="Q1357" s="635">
        <f t="shared" si="220"/>
        <v>0</v>
      </c>
    </row>
    <row r="1358" spans="1:20" ht="48.75" hidden="1" customHeight="1">
      <c r="A1358" s="273" t="s">
        <v>836</v>
      </c>
      <c r="B1358" s="273" t="s">
        <v>836</v>
      </c>
      <c r="C1358" s="183" t="s">
        <v>681</v>
      </c>
      <c r="D1358" s="228">
        <v>112</v>
      </c>
      <c r="E1358" s="229" t="s">
        <v>795</v>
      </c>
      <c r="F1358" s="230" t="s">
        <v>454</v>
      </c>
      <c r="G1358" s="237" t="s">
        <v>725</v>
      </c>
      <c r="H1358" s="251">
        <v>1</v>
      </c>
      <c r="I1358" s="388">
        <f>INT(L1358*$Q$139)</f>
        <v>0</v>
      </c>
      <c r="J1358" s="388">
        <f>INT(M1358*$R$139)</f>
        <v>0</v>
      </c>
      <c r="K1358" s="388">
        <f>SUM(I1358:J1358)</f>
        <v>0</v>
      </c>
      <c r="L1358" s="167"/>
      <c r="M1358" s="193"/>
      <c r="N1358" s="167">
        <f>SUM(L1358,M1358)</f>
        <v>0</v>
      </c>
      <c r="O1358" s="640">
        <f t="shared" si="219"/>
        <v>0</v>
      </c>
      <c r="Q1358" s="635">
        <f t="shared" si="220"/>
        <v>0</v>
      </c>
    </row>
    <row r="1359" spans="1:20" s="510" customFormat="1" ht="72" hidden="1" customHeight="1">
      <c r="A1359" s="501"/>
      <c r="B1359" s="502"/>
      <c r="C1359" s="503" t="s">
        <v>312</v>
      </c>
      <c r="D1359" s="504"/>
      <c r="E1359" s="505"/>
      <c r="F1359" s="504"/>
      <c r="G1359" s="504"/>
      <c r="H1359" s="504"/>
      <c r="I1359" s="506">
        <f>SUM(I1360)</f>
        <v>4979</v>
      </c>
      <c r="J1359" s="506">
        <f>SUM(J1360)</f>
        <v>0</v>
      </c>
      <c r="K1359" s="506">
        <f>SUM(I1359,J1359)</f>
        <v>4979</v>
      </c>
      <c r="L1359" s="507">
        <f>SUM(L1360)</f>
        <v>4979</v>
      </c>
      <c r="M1359" s="507">
        <f>SUM(M1360)</f>
        <v>0</v>
      </c>
      <c r="N1359" s="507">
        <f t="shared" si="225"/>
        <v>4979</v>
      </c>
      <c r="O1359" s="640">
        <f t="shared" si="219"/>
        <v>0</v>
      </c>
      <c r="P1359" s="508"/>
      <c r="Q1359" s="635">
        <f t="shared" si="220"/>
        <v>0</v>
      </c>
      <c r="R1359" s="508"/>
      <c r="S1359" s="508"/>
      <c r="T1359" s="509"/>
    </row>
    <row r="1360" spans="1:20" ht="68.25" hidden="1" customHeight="1">
      <c r="A1360" s="273" t="s">
        <v>632</v>
      </c>
      <c r="B1360" s="481" t="s">
        <v>1033</v>
      </c>
      <c r="C1360" s="490" t="s">
        <v>316</v>
      </c>
      <c r="D1360" s="483">
        <v>8100</v>
      </c>
      <c r="E1360" s="484">
        <v>108288</v>
      </c>
      <c r="F1360" s="526" t="s">
        <v>454</v>
      </c>
      <c r="G1360" s="488" t="s">
        <v>315</v>
      </c>
      <c r="H1360" s="489">
        <v>1</v>
      </c>
      <c r="I1360" s="473">
        <f>INT(L1360*$Q$139)</f>
        <v>4979</v>
      </c>
      <c r="J1360" s="473">
        <f>INT(M1360*$R$139)</f>
        <v>0</v>
      </c>
      <c r="K1360" s="473">
        <f>SUM(I1360:J1360)</f>
        <v>4979</v>
      </c>
      <c r="L1360" s="167">
        <v>4979</v>
      </c>
      <c r="M1360" s="167"/>
      <c r="N1360" s="167">
        <f t="shared" si="225"/>
        <v>4979</v>
      </c>
      <c r="O1360" s="640">
        <f t="shared" si="219"/>
        <v>0</v>
      </c>
      <c r="P1360" s="405"/>
      <c r="Q1360" s="635">
        <f t="shared" si="220"/>
        <v>0</v>
      </c>
    </row>
    <row r="1361" spans="1:20" ht="69.75" hidden="1" customHeight="1" thickBot="1">
      <c r="A1361" s="527"/>
      <c r="B1361" s="1287" t="s">
        <v>1276</v>
      </c>
      <c r="C1361" s="1287"/>
      <c r="D1361" s="1287"/>
      <c r="E1361" s="1287"/>
      <c r="F1361" s="1287"/>
      <c r="G1361" s="1287"/>
      <c r="H1361" s="1287"/>
      <c r="I1361" s="1287"/>
      <c r="J1361" s="1287"/>
      <c r="K1361" s="1287"/>
      <c r="L1361" s="536"/>
      <c r="M1361" s="536"/>
      <c r="N1361" s="536"/>
      <c r="O1361" s="640">
        <f t="shared" si="219"/>
        <v>0</v>
      </c>
      <c r="P1361" s="405"/>
      <c r="Q1361" s="635">
        <f t="shared" si="220"/>
        <v>0</v>
      </c>
    </row>
    <row r="1362" spans="1:20" ht="27.75" hidden="1" customHeight="1">
      <c r="C1362" s="1204" t="s">
        <v>51</v>
      </c>
      <c r="D1362" s="1204"/>
      <c r="E1362" s="1204"/>
      <c r="F1362" s="1204"/>
      <c r="H1362" s="1243" t="s">
        <v>11</v>
      </c>
      <c r="I1362" s="1244"/>
      <c r="J1362" s="1244"/>
      <c r="K1362" s="1245"/>
      <c r="L1362" s="337"/>
      <c r="M1362" s="337"/>
      <c r="N1362" s="337"/>
      <c r="O1362" s="640">
        <f t="shared" si="219"/>
        <v>0</v>
      </c>
      <c r="P1362" s="27"/>
      <c r="Q1362" s="635">
        <f t="shared" si="220"/>
        <v>0</v>
      </c>
      <c r="R1362" s="27"/>
      <c r="S1362" s="27"/>
      <c r="T1362" s="27"/>
    </row>
    <row r="1363" spans="1:20" ht="27.75" hidden="1" customHeight="1">
      <c r="C1363" s="1204" t="s">
        <v>52</v>
      </c>
      <c r="D1363" s="1204"/>
      <c r="E1363" s="1204"/>
      <c r="F1363" s="1204"/>
      <c r="H1363" s="1208" t="s">
        <v>21</v>
      </c>
      <c r="I1363" s="1209"/>
      <c r="J1363" s="1209"/>
      <c r="K1363" s="1210"/>
      <c r="L1363" s="336"/>
      <c r="M1363" s="336"/>
      <c r="N1363" s="336"/>
      <c r="O1363" s="640">
        <f t="shared" si="219"/>
        <v>0</v>
      </c>
      <c r="P1363" s="27"/>
      <c r="Q1363" s="635">
        <f t="shared" si="220"/>
        <v>0</v>
      </c>
      <c r="R1363" s="27"/>
      <c r="S1363" s="27"/>
      <c r="T1363" s="27"/>
    </row>
    <row r="1364" spans="1:20" ht="27.75" hidden="1" customHeight="1">
      <c r="C1364" s="1204" t="s">
        <v>50</v>
      </c>
      <c r="D1364" s="1204"/>
      <c r="E1364" s="1204"/>
      <c r="F1364" s="1204"/>
      <c r="H1364" s="1211"/>
      <c r="I1364" s="1212"/>
      <c r="J1364" s="1212"/>
      <c r="K1364" s="1213"/>
      <c r="L1364" s="336"/>
      <c r="M1364" s="336"/>
      <c r="N1364" s="336"/>
      <c r="O1364" s="640">
        <f t="shared" si="219"/>
        <v>0</v>
      </c>
      <c r="P1364" s="27"/>
      <c r="Q1364" s="635">
        <f t="shared" si="220"/>
        <v>0</v>
      </c>
      <c r="R1364" s="27"/>
      <c r="S1364" s="27"/>
      <c r="T1364" s="27"/>
    </row>
    <row r="1365" spans="1:20" ht="39.950000000000003" hidden="1" customHeight="1">
      <c r="C1365" s="1252"/>
      <c r="D1365" s="1252"/>
      <c r="E1365" s="1252"/>
      <c r="F1365" s="1252"/>
      <c r="G1365" s="44"/>
      <c r="H1365" s="1211" t="s">
        <v>22</v>
      </c>
      <c r="I1365" s="1212"/>
      <c r="J1365" s="1212"/>
      <c r="K1365" s="477">
        <f>K1321</f>
        <v>14317270</v>
      </c>
      <c r="L1365" s="336"/>
      <c r="M1365" s="336"/>
      <c r="N1365" s="86"/>
      <c r="O1365" s="640">
        <f t="shared" si="219"/>
        <v>0</v>
      </c>
      <c r="P1365" s="27"/>
      <c r="Q1365" s="635">
        <f t="shared" si="220"/>
        <v>0</v>
      </c>
      <c r="R1365" s="27"/>
      <c r="S1365" s="27"/>
      <c r="T1365" s="27"/>
    </row>
    <row r="1366" spans="1:20" ht="51" hidden="1" customHeight="1" thickBot="1">
      <c r="A1366" s="75"/>
      <c r="B1366" s="75"/>
      <c r="C1366" s="65"/>
      <c r="D1366" s="65"/>
      <c r="E1366" s="65"/>
      <c r="F1366" s="10"/>
      <c r="G1366" s="10"/>
      <c r="H1366" s="1283" t="s">
        <v>13</v>
      </c>
      <c r="I1366" s="1284"/>
      <c r="J1366" s="1284"/>
      <c r="K1366" s="1285"/>
      <c r="L1366" s="336"/>
      <c r="M1366" s="336"/>
      <c r="N1366" s="336"/>
      <c r="O1366" s="640">
        <f t="shared" si="219"/>
        <v>0</v>
      </c>
      <c r="P1366" s="27"/>
      <c r="Q1366" s="635">
        <f t="shared" si="220"/>
        <v>0</v>
      </c>
      <c r="R1366" s="27"/>
      <c r="S1366" s="27"/>
      <c r="T1366" s="27"/>
    </row>
    <row r="1367" spans="1:20" ht="17.100000000000001" hidden="1" customHeight="1">
      <c r="A1367" s="75"/>
      <c r="B1367" s="75"/>
      <c r="C1367" s="65"/>
      <c r="D1367" s="65"/>
      <c r="E1367" s="65"/>
      <c r="F1367" s="10"/>
      <c r="G1367" s="10"/>
      <c r="H1367" s="20"/>
      <c r="I1367" s="20"/>
      <c r="J1367" s="20"/>
      <c r="K1367" s="20"/>
      <c r="L1367" s="20"/>
      <c r="M1367" s="20"/>
      <c r="N1367" s="20"/>
      <c r="O1367" s="640">
        <f t="shared" si="219"/>
        <v>0</v>
      </c>
      <c r="P1367" s="27"/>
      <c r="Q1367" s="635">
        <f t="shared" si="220"/>
        <v>0</v>
      </c>
      <c r="R1367" s="27"/>
      <c r="S1367" s="27"/>
      <c r="T1367" s="27"/>
    </row>
    <row r="1368" spans="1:20" ht="30" hidden="1" customHeight="1">
      <c r="A1368" s="75"/>
      <c r="B1368" s="75"/>
      <c r="C1368" s="65"/>
      <c r="D1368" s="65"/>
      <c r="E1368" s="65"/>
      <c r="F1368" s="10"/>
      <c r="G1368" s="10"/>
      <c r="L1368" s="3"/>
      <c r="M1368" s="3"/>
      <c r="N1368" s="3"/>
      <c r="O1368" s="640">
        <f t="shared" si="219"/>
        <v>0</v>
      </c>
      <c r="P1368" s="27"/>
      <c r="Q1368" s="635">
        <f t="shared" si="220"/>
        <v>0</v>
      </c>
      <c r="R1368" s="27"/>
      <c r="S1368" s="27"/>
      <c r="T1368" s="27"/>
    </row>
    <row r="1369" spans="1:20" ht="39.950000000000003" hidden="1" customHeight="1">
      <c r="A1369" s="346"/>
      <c r="B1369" s="1226" t="s">
        <v>1037</v>
      </c>
      <c r="C1369" s="1226"/>
      <c r="D1369" s="1226"/>
      <c r="E1369" s="1226"/>
      <c r="F1369" s="1226"/>
      <c r="G1369" s="1226"/>
      <c r="H1369" s="1226"/>
      <c r="I1369" s="1226"/>
      <c r="J1369" s="1226"/>
      <c r="K1369" s="1226"/>
      <c r="L1369" s="346"/>
      <c r="M1369" s="346"/>
      <c r="N1369" s="346"/>
      <c r="O1369" s="640">
        <f t="shared" si="219"/>
        <v>0</v>
      </c>
      <c r="P1369" s="27"/>
      <c r="Q1369" s="635">
        <f t="shared" si="220"/>
        <v>0</v>
      </c>
      <c r="R1369" s="27"/>
      <c r="S1369" s="27"/>
      <c r="T1369" s="27"/>
    </row>
    <row r="1370" spans="1:20" ht="20.100000000000001" hidden="1" customHeight="1">
      <c r="A1370" s="46"/>
      <c r="B1370" s="46"/>
      <c r="C1370" s="46"/>
      <c r="D1370" s="46"/>
      <c r="E1370" s="46"/>
      <c r="F1370" s="46"/>
      <c r="G1370" s="46"/>
      <c r="H1370" s="46"/>
      <c r="I1370" s="46"/>
      <c r="J1370" s="46"/>
      <c r="K1370" s="46"/>
      <c r="L1370" s="46"/>
      <c r="M1370" s="46"/>
      <c r="N1370" s="46"/>
      <c r="O1370" s="640">
        <f t="shared" si="219"/>
        <v>0</v>
      </c>
      <c r="P1370" s="27"/>
      <c r="Q1370" s="635">
        <f t="shared" si="220"/>
        <v>0</v>
      </c>
      <c r="R1370" s="27"/>
      <c r="S1370" s="27"/>
      <c r="T1370" s="27"/>
    </row>
    <row r="1371" spans="1:20" s="500" customFormat="1" ht="90" hidden="1">
      <c r="A1371" s="496" t="s">
        <v>14</v>
      </c>
      <c r="B1371" s="497" t="s">
        <v>14</v>
      </c>
      <c r="C1371" s="497" t="s">
        <v>37</v>
      </c>
      <c r="D1371" s="497" t="s">
        <v>440</v>
      </c>
      <c r="E1371" s="497" t="s">
        <v>16</v>
      </c>
      <c r="F1371" s="497" t="s">
        <v>185</v>
      </c>
      <c r="G1371" s="497" t="s">
        <v>178</v>
      </c>
      <c r="H1371" s="497" t="s">
        <v>179</v>
      </c>
      <c r="I1371" s="497" t="s">
        <v>180</v>
      </c>
      <c r="J1371" s="497" t="s">
        <v>1275</v>
      </c>
      <c r="K1371" s="497" t="s">
        <v>200</v>
      </c>
      <c r="L1371" s="496" t="s">
        <v>180</v>
      </c>
      <c r="M1371" s="496" t="s">
        <v>181</v>
      </c>
      <c r="N1371" s="496" t="s">
        <v>200</v>
      </c>
      <c r="O1371" s="640" t="e">
        <f t="shared" si="219"/>
        <v>#VALUE!</v>
      </c>
      <c r="P1371" s="498"/>
      <c r="Q1371" s="635" t="e">
        <f t="shared" si="220"/>
        <v>#VALUE!</v>
      </c>
      <c r="R1371" s="498"/>
      <c r="S1371" s="498"/>
      <c r="T1371" s="499"/>
    </row>
    <row r="1372" spans="1:20" s="579" customFormat="1" ht="46.5" customHeight="1">
      <c r="A1372" s="572"/>
      <c r="B1372" s="572"/>
      <c r="C1372" s="573" t="s">
        <v>36</v>
      </c>
      <c r="D1372" s="574"/>
      <c r="E1372" s="574"/>
      <c r="F1372" s="575" t="s">
        <v>122</v>
      </c>
      <c r="G1372" s="576"/>
      <c r="H1372" s="576"/>
      <c r="I1372" s="577">
        <f>SUM(I1375,I1377,I1379,I1381,I1373)</f>
        <v>102640</v>
      </c>
      <c r="J1372" s="577">
        <f>SUM(J1375,J1377,J1379,J1381,J1373)</f>
        <v>3500</v>
      </c>
      <c r="K1372" s="577">
        <f>I1372+J1372</f>
        <v>106140</v>
      </c>
      <c r="L1372" s="578">
        <f>SUM(L1375,L1377,L1379,L1381,L1373)</f>
        <v>102640</v>
      </c>
      <c r="M1372" s="578">
        <f>SUM(M1375,M1377,M1379,M1381,M1373)</f>
        <v>3500</v>
      </c>
      <c r="N1372" s="578">
        <f>L1372+M1372</f>
        <v>106140</v>
      </c>
      <c r="O1372" s="644">
        <f t="shared" si="219"/>
        <v>1400</v>
      </c>
      <c r="Q1372" s="635">
        <f t="shared" si="220"/>
        <v>1400</v>
      </c>
    </row>
    <row r="1373" spans="1:20" s="510" customFormat="1" ht="72" hidden="1" customHeight="1">
      <c r="A1373" s="501"/>
      <c r="B1373" s="502"/>
      <c r="C1373" s="503" t="s">
        <v>292</v>
      </c>
      <c r="D1373" s="504"/>
      <c r="E1373" s="505"/>
      <c r="F1373" s="504"/>
      <c r="G1373" s="504"/>
      <c r="H1373" s="504"/>
      <c r="I1373" s="506">
        <f>I1374</f>
        <v>0</v>
      </c>
      <c r="J1373" s="506">
        <f>J1374</f>
        <v>3500</v>
      </c>
      <c r="K1373" s="506">
        <f>I1373+J1373</f>
        <v>3500</v>
      </c>
      <c r="L1373" s="507">
        <f>L1374</f>
        <v>0</v>
      </c>
      <c r="M1373" s="507">
        <f>M1374</f>
        <v>3500</v>
      </c>
      <c r="N1373" s="507">
        <f>L1373+M1373</f>
        <v>3500</v>
      </c>
      <c r="O1373" s="640">
        <f t="shared" si="219"/>
        <v>1400</v>
      </c>
      <c r="P1373" s="508"/>
      <c r="Q1373" s="635">
        <f t="shared" si="220"/>
        <v>1400</v>
      </c>
      <c r="R1373" s="508"/>
      <c r="S1373" s="508"/>
      <c r="T1373" s="509"/>
    </row>
    <row r="1374" spans="1:20" ht="54.75" customHeight="1">
      <c r="A1374" s="273"/>
      <c r="B1374" s="481" t="s">
        <v>1199</v>
      </c>
      <c r="C1374" s="490" t="s">
        <v>1225</v>
      </c>
      <c r="D1374" s="483">
        <v>8100</v>
      </c>
      <c r="E1374" s="484">
        <v>108288</v>
      </c>
      <c r="F1374" s="526" t="s">
        <v>30</v>
      </c>
      <c r="G1374" s="488" t="s">
        <v>910</v>
      </c>
      <c r="H1374" s="491">
        <v>1</v>
      </c>
      <c r="I1374" s="473">
        <f>INT(L1374*$Q$139)</f>
        <v>0</v>
      </c>
      <c r="J1374" s="473">
        <f>INT(M1374*$R$139)</f>
        <v>3500</v>
      </c>
      <c r="K1374" s="473">
        <f>SUM(I1374:J1374)</f>
        <v>3500</v>
      </c>
      <c r="L1374" s="167"/>
      <c r="M1374" s="167">
        <v>3500</v>
      </c>
      <c r="N1374" s="167">
        <f>SUM(L1374,M1374)</f>
        <v>3500</v>
      </c>
      <c r="O1374" s="640">
        <f t="shared" si="219"/>
        <v>1400</v>
      </c>
      <c r="P1374" s="405"/>
      <c r="Q1374" s="635">
        <f t="shared" si="220"/>
        <v>1400</v>
      </c>
    </row>
    <row r="1375" spans="1:20" s="510" customFormat="1" ht="72" hidden="1" customHeight="1">
      <c r="A1375" s="501"/>
      <c r="B1375" s="502"/>
      <c r="C1375" s="503" t="s">
        <v>141</v>
      </c>
      <c r="D1375" s="504"/>
      <c r="E1375" s="505"/>
      <c r="F1375" s="504"/>
      <c r="G1375" s="504"/>
      <c r="H1375" s="504"/>
      <c r="I1375" s="506">
        <f>SUM(I1376:I1376)</f>
        <v>67255</v>
      </c>
      <c r="J1375" s="506">
        <f>SUM(J1376:J1376)</f>
        <v>0</v>
      </c>
      <c r="K1375" s="506">
        <f>I1375+J1375</f>
        <v>67255</v>
      </c>
      <c r="L1375" s="507">
        <f>SUM(L1376:L1376)</f>
        <v>67255</v>
      </c>
      <c r="M1375" s="507">
        <f>SUM(M1376:M1376)</f>
        <v>0</v>
      </c>
      <c r="N1375" s="507">
        <f>L1375+M1375</f>
        <v>67255</v>
      </c>
      <c r="O1375" s="640">
        <f t="shared" si="219"/>
        <v>0</v>
      </c>
      <c r="P1375" s="508"/>
      <c r="Q1375" s="635">
        <f t="shared" si="220"/>
        <v>0</v>
      </c>
      <c r="R1375" s="508"/>
      <c r="S1375" s="508"/>
      <c r="T1375" s="509"/>
    </row>
    <row r="1376" spans="1:20" ht="54.75" hidden="1" customHeight="1">
      <c r="A1376" s="273" t="s">
        <v>615</v>
      </c>
      <c r="B1376" s="481" t="s">
        <v>1197</v>
      </c>
      <c r="C1376" s="490" t="s">
        <v>317</v>
      </c>
      <c r="D1376" s="483">
        <v>8100</v>
      </c>
      <c r="E1376" s="484">
        <v>108288</v>
      </c>
      <c r="F1376" s="526" t="s">
        <v>30</v>
      </c>
      <c r="G1376" s="488" t="s">
        <v>79</v>
      </c>
      <c r="H1376" s="489">
        <v>1</v>
      </c>
      <c r="I1376" s="473">
        <f>INT(L1376*$Q$139)</f>
        <v>67255</v>
      </c>
      <c r="J1376" s="473">
        <f>INT(M1376*$R$139)</f>
        <v>0</v>
      </c>
      <c r="K1376" s="473">
        <f>SUM(I1376:J1376)</f>
        <v>67255</v>
      </c>
      <c r="L1376" s="167">
        <v>67255</v>
      </c>
      <c r="M1376" s="167"/>
      <c r="N1376" s="167">
        <f>SUM(L1376,M1376)</f>
        <v>67255</v>
      </c>
      <c r="O1376" s="640">
        <f t="shared" si="219"/>
        <v>0</v>
      </c>
      <c r="P1376" s="405"/>
      <c r="Q1376" s="635">
        <f t="shared" si="220"/>
        <v>0</v>
      </c>
    </row>
    <row r="1377" spans="1:20" s="510" customFormat="1" ht="72" hidden="1" customHeight="1">
      <c r="A1377" s="501"/>
      <c r="B1377" s="502"/>
      <c r="C1377" s="503" t="s">
        <v>310</v>
      </c>
      <c r="D1377" s="504"/>
      <c r="E1377" s="505"/>
      <c r="F1377" s="504"/>
      <c r="G1377" s="504"/>
      <c r="H1377" s="504"/>
      <c r="I1377" s="506">
        <f>SUM(I1378:I1378)</f>
        <v>25161</v>
      </c>
      <c r="J1377" s="506">
        <f>SUM(J1378:J1378)</f>
        <v>0</v>
      </c>
      <c r="K1377" s="506">
        <f>I1377+J1377</f>
        <v>25161</v>
      </c>
      <c r="L1377" s="507">
        <f>SUM(L1378:L1378)</f>
        <v>25161</v>
      </c>
      <c r="M1377" s="507">
        <f>SUM(M1378:M1378)</f>
        <v>0</v>
      </c>
      <c r="N1377" s="507">
        <f>L1377+M1377</f>
        <v>25161</v>
      </c>
      <c r="O1377" s="640">
        <f t="shared" si="219"/>
        <v>0</v>
      </c>
      <c r="P1377" s="508"/>
      <c r="Q1377" s="635">
        <f t="shared" si="220"/>
        <v>0</v>
      </c>
      <c r="R1377" s="508"/>
      <c r="S1377" s="508"/>
      <c r="T1377" s="509"/>
    </row>
    <row r="1378" spans="1:20" ht="54.75" hidden="1" customHeight="1">
      <c r="A1378" s="273" t="s">
        <v>617</v>
      </c>
      <c r="B1378" s="481" t="s">
        <v>1032</v>
      </c>
      <c r="C1378" s="490" t="s">
        <v>681</v>
      </c>
      <c r="D1378" s="483">
        <v>8100</v>
      </c>
      <c r="E1378" s="484">
        <v>108288</v>
      </c>
      <c r="F1378" s="526" t="s">
        <v>30</v>
      </c>
      <c r="G1378" s="488" t="s">
        <v>725</v>
      </c>
      <c r="H1378" s="489">
        <v>1</v>
      </c>
      <c r="I1378" s="473">
        <f>INT(L1378*$Q$139)</f>
        <v>25161</v>
      </c>
      <c r="J1378" s="473">
        <f>INT(M1378*$R$139)</f>
        <v>0</v>
      </c>
      <c r="K1378" s="473">
        <f>SUM(I1378:J1378)</f>
        <v>25161</v>
      </c>
      <c r="L1378" s="167">
        <v>25161</v>
      </c>
      <c r="M1378" s="167"/>
      <c r="N1378" s="167">
        <f>SUM(L1378,M1378)</f>
        <v>25161</v>
      </c>
      <c r="O1378" s="640">
        <f t="shared" si="219"/>
        <v>0</v>
      </c>
      <c r="P1378" s="405"/>
      <c r="Q1378" s="635">
        <f t="shared" si="220"/>
        <v>0</v>
      </c>
    </row>
    <row r="1379" spans="1:20" ht="41.25" hidden="1" customHeight="1">
      <c r="A1379" s="149"/>
      <c r="B1379" s="149"/>
      <c r="C1379" s="143" t="s">
        <v>274</v>
      </c>
      <c r="D1379" s="144"/>
      <c r="E1379" s="144"/>
      <c r="F1379" s="137"/>
      <c r="G1379" s="143"/>
      <c r="H1379" s="135"/>
      <c r="I1379" s="466">
        <f t="shared" ref="I1379:N1379" si="227">SUM(I1380:I1380)</f>
        <v>0</v>
      </c>
      <c r="J1379" s="391">
        <f t="shared" si="227"/>
        <v>0</v>
      </c>
      <c r="K1379" s="466">
        <f t="shared" si="227"/>
        <v>0</v>
      </c>
      <c r="L1379" s="391">
        <f t="shared" si="227"/>
        <v>0</v>
      </c>
      <c r="M1379" s="391">
        <f t="shared" si="227"/>
        <v>0</v>
      </c>
      <c r="N1379" s="391">
        <f t="shared" si="227"/>
        <v>0</v>
      </c>
      <c r="O1379" s="640">
        <f t="shared" si="219"/>
        <v>0</v>
      </c>
      <c r="Q1379" s="635">
        <f t="shared" si="220"/>
        <v>0</v>
      </c>
    </row>
    <row r="1380" spans="1:20" ht="48.75" hidden="1" customHeight="1">
      <c r="A1380" s="273" t="s">
        <v>840</v>
      </c>
      <c r="B1380" s="273" t="s">
        <v>840</v>
      </c>
      <c r="C1380" s="183" t="s">
        <v>826</v>
      </c>
      <c r="D1380" s="228">
        <v>112</v>
      </c>
      <c r="E1380" s="229" t="s">
        <v>795</v>
      </c>
      <c r="F1380" s="230" t="s">
        <v>30</v>
      </c>
      <c r="G1380" s="248" t="s">
        <v>159</v>
      </c>
      <c r="H1380" s="231">
        <v>1</v>
      </c>
      <c r="I1380" s="465">
        <f>INT(L1380*$Q$139)</f>
        <v>0</v>
      </c>
      <c r="J1380" s="388">
        <f>INT(M1380*$R$139)</f>
        <v>0</v>
      </c>
      <c r="K1380" s="465">
        <f>SUM(I1380:J1380)</f>
        <v>0</v>
      </c>
      <c r="L1380" s="167"/>
      <c r="M1380" s="167"/>
      <c r="N1380" s="167">
        <f>SUM(L1380,M1380)</f>
        <v>0</v>
      </c>
      <c r="O1380" s="640">
        <f t="shared" si="219"/>
        <v>0</v>
      </c>
      <c r="Q1380" s="635">
        <f t="shared" si="220"/>
        <v>0</v>
      </c>
    </row>
    <row r="1381" spans="1:20" s="510" customFormat="1" ht="72" hidden="1" customHeight="1">
      <c r="A1381" s="501"/>
      <c r="B1381" s="502"/>
      <c r="C1381" s="503" t="s">
        <v>312</v>
      </c>
      <c r="D1381" s="504"/>
      <c r="E1381" s="505"/>
      <c r="F1381" s="504"/>
      <c r="G1381" s="504"/>
      <c r="H1381" s="504"/>
      <c r="I1381" s="506">
        <f>SUM(I1382:I1382)</f>
        <v>10224</v>
      </c>
      <c r="J1381" s="506">
        <f>SUM(J1382:J1382)</f>
        <v>0</v>
      </c>
      <c r="K1381" s="506">
        <f>I1381+J1381</f>
        <v>10224</v>
      </c>
      <c r="L1381" s="507">
        <f>SUM(L1382:L1382)</f>
        <v>10224</v>
      </c>
      <c r="M1381" s="507">
        <f>SUM(M1382:M1382)</f>
        <v>0</v>
      </c>
      <c r="N1381" s="507">
        <f>L1381+M1381</f>
        <v>10224</v>
      </c>
      <c r="O1381" s="640">
        <f t="shared" si="219"/>
        <v>0</v>
      </c>
      <c r="P1381" s="508"/>
      <c r="Q1381" s="635">
        <f t="shared" si="220"/>
        <v>0</v>
      </c>
      <c r="R1381" s="508"/>
      <c r="S1381" s="508"/>
      <c r="T1381" s="509"/>
    </row>
    <row r="1382" spans="1:20" ht="54.75" hidden="1" customHeight="1">
      <c r="A1382" s="273" t="s">
        <v>632</v>
      </c>
      <c r="B1382" s="481" t="s">
        <v>1033</v>
      </c>
      <c r="C1382" s="490" t="s">
        <v>316</v>
      </c>
      <c r="D1382" s="483">
        <v>8100</v>
      </c>
      <c r="E1382" s="484">
        <v>108288</v>
      </c>
      <c r="F1382" s="526" t="s">
        <v>30</v>
      </c>
      <c r="G1382" s="488" t="s">
        <v>315</v>
      </c>
      <c r="H1382" s="489">
        <v>1</v>
      </c>
      <c r="I1382" s="473">
        <f>INT(L1382*$Q$139)</f>
        <v>10224</v>
      </c>
      <c r="J1382" s="473">
        <f>INT(M1382*$R$139)</f>
        <v>0</v>
      </c>
      <c r="K1382" s="473">
        <f>SUM(I1382:J1382)</f>
        <v>10224</v>
      </c>
      <c r="L1382" s="167">
        <v>10224</v>
      </c>
      <c r="M1382" s="167"/>
      <c r="N1382" s="167">
        <f>SUM(L1382,M1382)</f>
        <v>10224</v>
      </c>
      <c r="O1382" s="640">
        <f t="shared" si="219"/>
        <v>0</v>
      </c>
      <c r="P1382" s="405"/>
      <c r="Q1382" s="635">
        <f t="shared" si="220"/>
        <v>0</v>
      </c>
    </row>
    <row r="1383" spans="1:20" s="579" customFormat="1" ht="72.75" customHeight="1">
      <c r="A1383" s="572"/>
      <c r="B1383" s="572"/>
      <c r="C1383" s="584" t="s">
        <v>256</v>
      </c>
      <c r="D1383" s="574"/>
      <c r="E1383" s="574"/>
      <c r="F1383" s="575" t="s">
        <v>257</v>
      </c>
      <c r="G1383" s="576"/>
      <c r="H1383" s="576"/>
      <c r="I1383" s="577">
        <f>I1384+I1386+I1388+I1393</f>
        <v>92611</v>
      </c>
      <c r="J1383" s="577">
        <f>J1384+J1386+J1388+J1393</f>
        <v>17500</v>
      </c>
      <c r="K1383" s="577">
        <f>I1383+J1383</f>
        <v>110111</v>
      </c>
      <c r="L1383" s="578">
        <f>L1384+L1386+L1388+L1393</f>
        <v>92611</v>
      </c>
      <c r="M1383" s="578">
        <f>M1384+M1386+M1388+M1393</f>
        <v>17500</v>
      </c>
      <c r="N1383" s="578">
        <f>L1383+M1383</f>
        <v>110111</v>
      </c>
      <c r="O1383" s="644">
        <f t="shared" si="219"/>
        <v>7000</v>
      </c>
      <c r="Q1383" s="635">
        <f t="shared" si="220"/>
        <v>7000</v>
      </c>
    </row>
    <row r="1384" spans="1:20" s="510" customFormat="1" ht="72" hidden="1" customHeight="1">
      <c r="A1384" s="501"/>
      <c r="B1384" s="502"/>
      <c r="C1384" s="503" t="s">
        <v>141</v>
      </c>
      <c r="D1384" s="504"/>
      <c r="E1384" s="505"/>
      <c r="F1384" s="504"/>
      <c r="G1384" s="504"/>
      <c r="H1384" s="504"/>
      <c r="I1384" s="506">
        <f>SUM(I1385)</f>
        <v>83350</v>
      </c>
      <c r="J1384" s="506"/>
      <c r="K1384" s="506">
        <f>I1384+J1384</f>
        <v>83350</v>
      </c>
      <c r="L1384" s="507">
        <f>SUM(L1385)</f>
        <v>83350</v>
      </c>
      <c r="M1384" s="507"/>
      <c r="N1384" s="507">
        <f>L1384+M1384</f>
        <v>83350</v>
      </c>
      <c r="O1384" s="640">
        <f t="shared" ref="O1384:O1447" si="228">(J1384/100)*40</f>
        <v>0</v>
      </c>
      <c r="P1384" s="508"/>
      <c r="Q1384" s="635">
        <f t="shared" ref="Q1384:Q1447" si="229">($Q$932*J1384)/100</f>
        <v>0</v>
      </c>
      <c r="R1384" s="508"/>
      <c r="S1384" s="508"/>
      <c r="T1384" s="509"/>
    </row>
    <row r="1385" spans="1:20" ht="54.75" hidden="1" customHeight="1">
      <c r="A1385" s="273" t="s">
        <v>615</v>
      </c>
      <c r="B1385" s="481" t="s">
        <v>1197</v>
      </c>
      <c r="C1385" s="490" t="s">
        <v>317</v>
      </c>
      <c r="D1385" s="483">
        <v>8100</v>
      </c>
      <c r="E1385" s="484">
        <v>108288</v>
      </c>
      <c r="F1385" s="526" t="s">
        <v>258</v>
      </c>
      <c r="G1385" s="488" t="s">
        <v>79</v>
      </c>
      <c r="H1385" s="489">
        <v>1</v>
      </c>
      <c r="I1385" s="473">
        <f>INT(L1385*$Q$139)</f>
        <v>83350</v>
      </c>
      <c r="J1385" s="473">
        <f>INT(M1385*$R$139)</f>
        <v>0</v>
      </c>
      <c r="K1385" s="473">
        <f>SUM(I1385:J1385)</f>
        <v>83350</v>
      </c>
      <c r="L1385" s="167">
        <v>83350</v>
      </c>
      <c r="M1385" s="167"/>
      <c r="N1385" s="167">
        <f>SUM(L1385,M1385)</f>
        <v>83350</v>
      </c>
      <c r="O1385" s="640">
        <f t="shared" si="228"/>
        <v>0</v>
      </c>
      <c r="P1385" s="405"/>
      <c r="Q1385" s="635">
        <f t="shared" si="229"/>
        <v>0</v>
      </c>
    </row>
    <row r="1386" spans="1:20" s="510" customFormat="1" ht="72" hidden="1" customHeight="1">
      <c r="A1386" s="501"/>
      <c r="B1386" s="502"/>
      <c r="C1386" s="503" t="s">
        <v>310</v>
      </c>
      <c r="D1386" s="504"/>
      <c r="E1386" s="505"/>
      <c r="F1386" s="504"/>
      <c r="G1386" s="504"/>
      <c r="H1386" s="504"/>
      <c r="I1386" s="506">
        <f>I1387</f>
        <v>0</v>
      </c>
      <c r="J1386" s="506">
        <f>J1387</f>
        <v>15010</v>
      </c>
      <c r="K1386" s="506">
        <f>I1386+J1386</f>
        <v>15010</v>
      </c>
      <c r="L1386" s="507">
        <f>L1387</f>
        <v>0</v>
      </c>
      <c r="M1386" s="507">
        <f>M1387</f>
        <v>15010</v>
      </c>
      <c r="N1386" s="507">
        <f>L1386+M1386</f>
        <v>15010</v>
      </c>
      <c r="O1386" s="640">
        <f t="shared" si="228"/>
        <v>6004</v>
      </c>
      <c r="P1386" s="508"/>
      <c r="Q1386" s="635">
        <f t="shared" si="229"/>
        <v>6004</v>
      </c>
      <c r="R1386" s="508"/>
      <c r="S1386" s="508"/>
      <c r="T1386" s="509"/>
    </row>
    <row r="1387" spans="1:20" ht="54.75" customHeight="1">
      <c r="A1387" s="273"/>
      <c r="B1387" s="481" t="s">
        <v>1032</v>
      </c>
      <c r="C1387" s="490" t="s">
        <v>681</v>
      </c>
      <c r="D1387" s="483">
        <v>8100</v>
      </c>
      <c r="E1387" s="484">
        <v>108288</v>
      </c>
      <c r="F1387" s="526" t="s">
        <v>258</v>
      </c>
      <c r="G1387" s="488" t="s">
        <v>1075</v>
      </c>
      <c r="H1387" s="489">
        <v>1</v>
      </c>
      <c r="I1387" s="473">
        <f>INT(L1387*$Q$139)</f>
        <v>0</v>
      </c>
      <c r="J1387" s="473">
        <f>INT(M1387*$R$139)</f>
        <v>15010</v>
      </c>
      <c r="K1387" s="473">
        <f>SUM(I1387:J1387)</f>
        <v>15010</v>
      </c>
      <c r="L1387" s="167"/>
      <c r="M1387" s="167">
        <v>15010</v>
      </c>
      <c r="N1387" s="167">
        <f>L1387+M1387</f>
        <v>15010</v>
      </c>
      <c r="O1387" s="640">
        <f t="shared" si="228"/>
        <v>6004</v>
      </c>
      <c r="P1387" s="405"/>
      <c r="Q1387" s="635">
        <f t="shared" si="229"/>
        <v>6004</v>
      </c>
    </row>
    <row r="1388" spans="1:20" s="510" customFormat="1" ht="72" hidden="1" customHeight="1">
      <c r="A1388" s="501"/>
      <c r="B1388" s="502"/>
      <c r="C1388" s="503" t="s">
        <v>278</v>
      </c>
      <c r="D1388" s="504"/>
      <c r="E1388" s="505"/>
      <c r="F1388" s="504"/>
      <c r="G1388" s="504"/>
      <c r="H1388" s="504"/>
      <c r="I1388" s="506">
        <f>SUM(I1389)</f>
        <v>9261</v>
      </c>
      <c r="J1388" s="506"/>
      <c r="K1388" s="506">
        <f>I1388+J1388</f>
        <v>9261</v>
      </c>
      <c r="L1388" s="507">
        <f>SUM(L1389)</f>
        <v>9261</v>
      </c>
      <c r="M1388" s="507"/>
      <c r="N1388" s="507">
        <f>L1388+M1388</f>
        <v>9261</v>
      </c>
      <c r="O1388" s="640">
        <f t="shared" si="228"/>
        <v>0</v>
      </c>
      <c r="P1388" s="508"/>
      <c r="Q1388" s="635">
        <f t="shared" si="229"/>
        <v>0</v>
      </c>
      <c r="R1388" s="508"/>
      <c r="S1388" s="508"/>
      <c r="T1388" s="509"/>
    </row>
    <row r="1389" spans="1:20" ht="54.75" hidden="1" customHeight="1">
      <c r="A1389" s="273" t="s">
        <v>653</v>
      </c>
      <c r="B1389" s="481" t="s">
        <v>1031</v>
      </c>
      <c r="C1389" s="490" t="s">
        <v>319</v>
      </c>
      <c r="D1389" s="483">
        <v>8100</v>
      </c>
      <c r="E1389" s="484" t="s">
        <v>686</v>
      </c>
      <c r="F1389" s="526" t="s">
        <v>258</v>
      </c>
      <c r="G1389" s="488" t="s">
        <v>18</v>
      </c>
      <c r="H1389" s="489">
        <v>2</v>
      </c>
      <c r="I1389" s="473">
        <f>INT(L1389*$Q$139)</f>
        <v>9261</v>
      </c>
      <c r="J1389" s="473">
        <f>INT(M1389*$R$139)</f>
        <v>0</v>
      </c>
      <c r="K1389" s="473">
        <f>SUM(I1389:J1389)</f>
        <v>9261</v>
      </c>
      <c r="L1389" s="167">
        <v>9261</v>
      </c>
      <c r="M1389" s="167"/>
      <c r="N1389" s="167">
        <f>SUM(L1389,M1389)</f>
        <v>9261</v>
      </c>
      <c r="O1389" s="640">
        <f t="shared" si="228"/>
        <v>0</v>
      </c>
      <c r="P1389" s="405"/>
      <c r="Q1389" s="635">
        <f t="shared" si="229"/>
        <v>0</v>
      </c>
    </row>
    <row r="1390" spans="1:20" ht="41.25" hidden="1" customHeight="1">
      <c r="A1390" s="149"/>
      <c r="B1390" s="149"/>
      <c r="C1390" s="143" t="s">
        <v>274</v>
      </c>
      <c r="D1390" s="144"/>
      <c r="E1390" s="144"/>
      <c r="F1390" s="137"/>
      <c r="G1390" s="143"/>
      <c r="H1390" s="135"/>
      <c r="I1390" s="391">
        <f t="shared" ref="I1390:N1390" si="230">SUM(I1391:I1392)</f>
        <v>0</v>
      </c>
      <c r="J1390" s="391">
        <f t="shared" si="230"/>
        <v>0</v>
      </c>
      <c r="K1390" s="391">
        <f t="shared" si="230"/>
        <v>0</v>
      </c>
      <c r="L1390" s="391">
        <f t="shared" si="230"/>
        <v>0</v>
      </c>
      <c r="M1390" s="391">
        <f t="shared" si="230"/>
        <v>0</v>
      </c>
      <c r="N1390" s="391">
        <f t="shared" si="230"/>
        <v>0</v>
      </c>
      <c r="O1390" s="640">
        <f t="shared" si="228"/>
        <v>0</v>
      </c>
      <c r="Q1390" s="635">
        <f t="shared" si="229"/>
        <v>0</v>
      </c>
    </row>
    <row r="1391" spans="1:20" ht="48.75" hidden="1" customHeight="1">
      <c r="A1391" s="273" t="s">
        <v>836</v>
      </c>
      <c r="B1391" s="273" t="s">
        <v>836</v>
      </c>
      <c r="C1391" s="183" t="s">
        <v>681</v>
      </c>
      <c r="D1391" s="228">
        <v>112</v>
      </c>
      <c r="E1391" s="229" t="s">
        <v>795</v>
      </c>
      <c r="F1391" s="230" t="s">
        <v>258</v>
      </c>
      <c r="G1391" s="237" t="s">
        <v>725</v>
      </c>
      <c r="H1391" s="251">
        <v>1</v>
      </c>
      <c r="I1391" s="388">
        <f>INT(L1391*$Q$139)</f>
        <v>0</v>
      </c>
      <c r="J1391" s="388">
        <f>INT(M1391*$R$139)</f>
        <v>0</v>
      </c>
      <c r="K1391" s="388">
        <f>SUM(I1391:J1391)</f>
        <v>0</v>
      </c>
      <c r="L1391" s="167"/>
      <c r="M1391" s="176"/>
      <c r="N1391" s="167">
        <f>SUM(L1391,M1391)</f>
        <v>0</v>
      </c>
      <c r="O1391" s="640">
        <f t="shared" si="228"/>
        <v>0</v>
      </c>
      <c r="Q1391" s="635">
        <f t="shared" si="229"/>
        <v>0</v>
      </c>
    </row>
    <row r="1392" spans="1:20" ht="48.75" hidden="1" customHeight="1">
      <c r="A1392" s="273" t="s">
        <v>838</v>
      </c>
      <c r="B1392" s="273" t="s">
        <v>838</v>
      </c>
      <c r="C1392" s="241" t="s">
        <v>316</v>
      </c>
      <c r="D1392" s="228">
        <v>112</v>
      </c>
      <c r="E1392" s="229" t="s">
        <v>795</v>
      </c>
      <c r="F1392" s="230" t="s">
        <v>258</v>
      </c>
      <c r="G1392" s="242" t="s">
        <v>315</v>
      </c>
      <c r="H1392" s="271">
        <v>1</v>
      </c>
      <c r="I1392" s="388">
        <f>INT(L1392*$Q$139)</f>
        <v>0</v>
      </c>
      <c r="J1392" s="388">
        <f>INT(M1392*$R$139)</f>
        <v>0</v>
      </c>
      <c r="K1392" s="388">
        <f>SUM(I1392:J1392)</f>
        <v>0</v>
      </c>
      <c r="L1392" s="167"/>
      <c r="M1392" s="176"/>
      <c r="N1392" s="167">
        <f>SUM(L1392,M1392)</f>
        <v>0</v>
      </c>
      <c r="O1392" s="640">
        <f t="shared" si="228"/>
        <v>0</v>
      </c>
      <c r="Q1392" s="635">
        <f t="shared" si="229"/>
        <v>0</v>
      </c>
    </row>
    <row r="1393" spans="1:20" s="510" customFormat="1" ht="72" hidden="1" customHeight="1">
      <c r="A1393" s="501"/>
      <c r="B1393" s="502"/>
      <c r="C1393" s="503" t="s">
        <v>312</v>
      </c>
      <c r="D1393" s="504"/>
      <c r="E1393" s="505"/>
      <c r="F1393" s="504"/>
      <c r="G1393" s="504"/>
      <c r="H1393" s="504"/>
      <c r="I1393" s="506">
        <f>SUM(I1394)</f>
        <v>0</v>
      </c>
      <c r="J1393" s="506">
        <f>SUM(J1394)</f>
        <v>2490</v>
      </c>
      <c r="K1393" s="506">
        <f>SUM(I1393,J1393)</f>
        <v>2490</v>
      </c>
      <c r="L1393" s="507">
        <f>SUM(L1394)</f>
        <v>0</v>
      </c>
      <c r="M1393" s="507">
        <f>SUM(M1394)</f>
        <v>2490</v>
      </c>
      <c r="N1393" s="507">
        <f>SUM(L1393,M1393)</f>
        <v>2490</v>
      </c>
      <c r="O1393" s="640">
        <f t="shared" si="228"/>
        <v>996</v>
      </c>
      <c r="P1393" s="508"/>
      <c r="Q1393" s="635">
        <f t="shared" si="229"/>
        <v>996</v>
      </c>
      <c r="R1393" s="508"/>
      <c r="S1393" s="508"/>
      <c r="T1393" s="509"/>
    </row>
    <row r="1394" spans="1:20" ht="54.75" customHeight="1">
      <c r="A1394" s="273" t="s">
        <v>632</v>
      </c>
      <c r="B1394" s="481" t="s">
        <v>1033</v>
      </c>
      <c r="C1394" s="490" t="s">
        <v>316</v>
      </c>
      <c r="D1394" s="483">
        <v>8100</v>
      </c>
      <c r="E1394" s="484">
        <v>108288</v>
      </c>
      <c r="F1394" s="526" t="s">
        <v>258</v>
      </c>
      <c r="G1394" s="488" t="s">
        <v>315</v>
      </c>
      <c r="H1394" s="489">
        <v>1</v>
      </c>
      <c r="I1394" s="473">
        <f>INT(L1394*$Q$139)</f>
        <v>0</v>
      </c>
      <c r="J1394" s="473">
        <f>INT(M1394*$R$139)</f>
        <v>2490</v>
      </c>
      <c r="K1394" s="473">
        <f>SUM(I1394:J1394)</f>
        <v>2490</v>
      </c>
      <c r="L1394" s="167"/>
      <c r="M1394" s="167">
        <v>2490</v>
      </c>
      <c r="N1394" s="167">
        <f>SUM(L1394,M1394)</f>
        <v>2490</v>
      </c>
      <c r="O1394" s="640">
        <f t="shared" si="228"/>
        <v>996</v>
      </c>
      <c r="P1394" s="405"/>
      <c r="Q1394" s="635">
        <f t="shared" si="229"/>
        <v>996</v>
      </c>
    </row>
    <row r="1395" spans="1:20" ht="68.25" hidden="1" customHeight="1">
      <c r="A1395" s="25"/>
      <c r="B1395" s="1287" t="s">
        <v>1276</v>
      </c>
      <c r="C1395" s="1287"/>
      <c r="D1395" s="1287"/>
      <c r="E1395" s="1287"/>
      <c r="F1395" s="1287"/>
      <c r="G1395" s="1287"/>
      <c r="H1395" s="1287"/>
      <c r="I1395" s="1287"/>
      <c r="J1395" s="1287"/>
      <c r="K1395" s="1287"/>
      <c r="L1395" s="338"/>
      <c r="M1395" s="338"/>
      <c r="N1395" s="338"/>
      <c r="O1395" s="640">
        <f t="shared" si="228"/>
        <v>0</v>
      </c>
      <c r="Q1395" s="635">
        <f t="shared" si="229"/>
        <v>0</v>
      </c>
    </row>
    <row r="1396" spans="1:20" ht="21.95" hidden="1" customHeight="1" thickBot="1">
      <c r="O1396" s="640">
        <f t="shared" si="228"/>
        <v>0</v>
      </c>
      <c r="P1396" s="27"/>
      <c r="Q1396" s="635">
        <f t="shared" si="229"/>
        <v>0</v>
      </c>
      <c r="R1396" s="27"/>
      <c r="S1396" s="27"/>
      <c r="T1396" s="27"/>
    </row>
    <row r="1397" spans="1:20" ht="27.75" hidden="1" customHeight="1">
      <c r="C1397" s="1204" t="s">
        <v>51</v>
      </c>
      <c r="D1397" s="1204"/>
      <c r="E1397" s="1204"/>
      <c r="F1397" s="1204"/>
      <c r="H1397" s="1243" t="s">
        <v>11</v>
      </c>
      <c r="I1397" s="1244"/>
      <c r="J1397" s="1244"/>
      <c r="K1397" s="1245"/>
      <c r="L1397" s="337"/>
      <c r="M1397" s="337"/>
      <c r="N1397" s="337"/>
      <c r="O1397" s="640">
        <f t="shared" si="228"/>
        <v>0</v>
      </c>
      <c r="P1397" s="27"/>
      <c r="Q1397" s="635">
        <f t="shared" si="229"/>
        <v>0</v>
      </c>
      <c r="R1397" s="27"/>
      <c r="S1397" s="27"/>
      <c r="T1397" s="27"/>
    </row>
    <row r="1398" spans="1:20" ht="27.75" hidden="1" customHeight="1">
      <c r="C1398" s="1204" t="s">
        <v>52</v>
      </c>
      <c r="D1398" s="1204"/>
      <c r="E1398" s="1204"/>
      <c r="F1398" s="1204"/>
      <c r="H1398" s="1208" t="s">
        <v>21</v>
      </c>
      <c r="I1398" s="1209"/>
      <c r="J1398" s="1209"/>
      <c r="K1398" s="1210"/>
      <c r="L1398" s="336"/>
      <c r="M1398" s="336"/>
      <c r="N1398" s="336"/>
      <c r="O1398" s="640">
        <f t="shared" si="228"/>
        <v>0</v>
      </c>
      <c r="P1398" s="27"/>
      <c r="Q1398" s="635">
        <f t="shared" si="229"/>
        <v>0</v>
      </c>
      <c r="R1398" s="27"/>
      <c r="S1398" s="27"/>
      <c r="T1398" s="27"/>
    </row>
    <row r="1399" spans="1:20" ht="27.75" hidden="1" customHeight="1">
      <c r="C1399" s="1204" t="s">
        <v>50</v>
      </c>
      <c r="D1399" s="1204"/>
      <c r="E1399" s="1204"/>
      <c r="F1399" s="1204"/>
      <c r="H1399" s="1211"/>
      <c r="I1399" s="1212"/>
      <c r="J1399" s="1212"/>
      <c r="K1399" s="1213"/>
      <c r="L1399" s="336"/>
      <c r="M1399" s="336"/>
      <c r="N1399" s="336"/>
      <c r="O1399" s="640">
        <f t="shared" si="228"/>
        <v>0</v>
      </c>
      <c r="P1399" s="27"/>
      <c r="Q1399" s="635">
        <f t="shared" si="229"/>
        <v>0</v>
      </c>
      <c r="R1399" s="27"/>
      <c r="S1399" s="27"/>
      <c r="T1399" s="27"/>
    </row>
    <row r="1400" spans="1:20" ht="39.950000000000003" hidden="1" customHeight="1">
      <c r="C1400" s="1252"/>
      <c r="D1400" s="1252"/>
      <c r="E1400" s="1252"/>
      <c r="F1400" s="1252"/>
      <c r="G1400" s="44"/>
      <c r="H1400" s="1211" t="s">
        <v>22</v>
      </c>
      <c r="I1400" s="1212"/>
      <c r="J1400" s="1212"/>
      <c r="K1400" s="477">
        <f>K1426</f>
        <v>14317270</v>
      </c>
      <c r="L1400" s="336"/>
      <c r="M1400" s="336"/>
      <c r="N1400" s="86"/>
      <c r="O1400" s="640">
        <f t="shared" si="228"/>
        <v>0</v>
      </c>
      <c r="P1400" s="27"/>
      <c r="Q1400" s="635">
        <f t="shared" si="229"/>
        <v>0</v>
      </c>
      <c r="R1400" s="27"/>
      <c r="S1400" s="27"/>
      <c r="T1400" s="27"/>
    </row>
    <row r="1401" spans="1:20" ht="51" hidden="1" customHeight="1" thickBot="1">
      <c r="A1401" s="75"/>
      <c r="B1401" s="75"/>
      <c r="C1401" s="65"/>
      <c r="D1401" s="65"/>
      <c r="E1401" s="65"/>
      <c r="F1401" s="10"/>
      <c r="G1401" s="10"/>
      <c r="H1401" s="1283" t="s">
        <v>13</v>
      </c>
      <c r="I1401" s="1284"/>
      <c r="J1401" s="1284"/>
      <c r="K1401" s="1285"/>
      <c r="L1401" s="336"/>
      <c r="M1401" s="336"/>
      <c r="N1401" s="336"/>
      <c r="O1401" s="640">
        <f t="shared" si="228"/>
        <v>0</v>
      </c>
      <c r="P1401" s="27"/>
      <c r="Q1401" s="635">
        <f t="shared" si="229"/>
        <v>0</v>
      </c>
      <c r="R1401" s="27"/>
      <c r="S1401" s="27"/>
      <c r="T1401" s="27"/>
    </row>
    <row r="1402" spans="1:20" ht="17.100000000000001" hidden="1" customHeight="1">
      <c r="A1402" s="75"/>
      <c r="B1402" s="75"/>
      <c r="C1402" s="65"/>
      <c r="D1402" s="65"/>
      <c r="E1402" s="65"/>
      <c r="F1402" s="10"/>
      <c r="G1402" s="10"/>
      <c r="H1402" s="20"/>
      <c r="I1402" s="20"/>
      <c r="J1402" s="20"/>
      <c r="K1402" s="20"/>
      <c r="L1402" s="20"/>
      <c r="M1402" s="20"/>
      <c r="N1402" s="20"/>
      <c r="O1402" s="640">
        <f t="shared" si="228"/>
        <v>0</v>
      </c>
      <c r="P1402" s="27"/>
      <c r="Q1402" s="635">
        <f t="shared" si="229"/>
        <v>0</v>
      </c>
      <c r="R1402" s="27"/>
      <c r="S1402" s="27"/>
      <c r="T1402" s="27"/>
    </row>
    <row r="1403" spans="1:20" ht="39.950000000000003" hidden="1" customHeight="1">
      <c r="A1403" s="346"/>
      <c r="B1403" s="1226" t="s">
        <v>1037</v>
      </c>
      <c r="C1403" s="1226"/>
      <c r="D1403" s="1226"/>
      <c r="E1403" s="1226"/>
      <c r="F1403" s="1226"/>
      <c r="G1403" s="1226"/>
      <c r="H1403" s="1226"/>
      <c r="I1403" s="1226"/>
      <c r="J1403" s="1226"/>
      <c r="K1403" s="1226"/>
      <c r="L1403" s="346"/>
      <c r="M1403" s="346"/>
      <c r="N1403" s="346"/>
      <c r="O1403" s="640">
        <f t="shared" si="228"/>
        <v>0</v>
      </c>
      <c r="P1403" s="27"/>
      <c r="Q1403" s="635">
        <f t="shared" si="229"/>
        <v>0</v>
      </c>
      <c r="R1403" s="27"/>
      <c r="S1403" s="27"/>
      <c r="T1403" s="27"/>
    </row>
    <row r="1404" spans="1:20" ht="20.100000000000001" hidden="1" customHeight="1">
      <c r="A1404" s="46"/>
      <c r="B1404" s="46"/>
      <c r="C1404" s="46"/>
      <c r="D1404" s="46"/>
      <c r="E1404" s="46"/>
      <c r="F1404" s="46"/>
      <c r="G1404" s="46"/>
      <c r="H1404" s="46"/>
      <c r="I1404" s="46"/>
      <c r="J1404" s="46"/>
      <c r="K1404" s="46"/>
      <c r="L1404" s="46"/>
      <c r="M1404" s="46"/>
      <c r="N1404" s="46"/>
      <c r="O1404" s="640">
        <f t="shared" si="228"/>
        <v>0</v>
      </c>
      <c r="P1404" s="27"/>
      <c r="Q1404" s="635">
        <f t="shared" si="229"/>
        <v>0</v>
      </c>
      <c r="R1404" s="27"/>
      <c r="S1404" s="27"/>
      <c r="T1404" s="27"/>
    </row>
    <row r="1405" spans="1:20" s="500" customFormat="1" ht="90" hidden="1">
      <c r="A1405" s="496" t="s">
        <v>14</v>
      </c>
      <c r="B1405" s="497" t="s">
        <v>14</v>
      </c>
      <c r="C1405" s="497" t="s">
        <v>37</v>
      </c>
      <c r="D1405" s="497" t="s">
        <v>440</v>
      </c>
      <c r="E1405" s="497" t="s">
        <v>16</v>
      </c>
      <c r="F1405" s="497" t="s">
        <v>185</v>
      </c>
      <c r="G1405" s="497" t="s">
        <v>178</v>
      </c>
      <c r="H1405" s="497" t="s">
        <v>179</v>
      </c>
      <c r="I1405" s="497" t="s">
        <v>180</v>
      </c>
      <c r="J1405" s="497" t="s">
        <v>1275</v>
      </c>
      <c r="K1405" s="497" t="s">
        <v>200</v>
      </c>
      <c r="L1405" s="496" t="s">
        <v>180</v>
      </c>
      <c r="M1405" s="496" t="s">
        <v>181</v>
      </c>
      <c r="N1405" s="496" t="s">
        <v>200</v>
      </c>
      <c r="O1405" s="640" t="e">
        <f t="shared" si="228"/>
        <v>#VALUE!</v>
      </c>
      <c r="P1405" s="498"/>
      <c r="Q1405" s="635" t="e">
        <f t="shared" si="229"/>
        <v>#VALUE!</v>
      </c>
      <c r="R1405" s="498"/>
      <c r="S1405" s="498"/>
      <c r="T1405" s="499"/>
    </row>
    <row r="1406" spans="1:20" s="579" customFormat="1" ht="80.25" customHeight="1">
      <c r="A1406" s="572"/>
      <c r="B1406" s="572"/>
      <c r="C1406" s="584" t="s">
        <v>1314</v>
      </c>
      <c r="D1406" s="574"/>
      <c r="E1406" s="574"/>
      <c r="F1406" s="575" t="s">
        <v>1086</v>
      </c>
      <c r="G1406" s="576"/>
      <c r="H1406" s="576"/>
      <c r="I1406" s="577">
        <f>I1407+I1409+I1412</f>
        <v>180222</v>
      </c>
      <c r="J1406" s="577">
        <f>J1407+J1409+J1412</f>
        <v>8750</v>
      </c>
      <c r="K1406" s="577">
        <f>I1406+J1406</f>
        <v>188972</v>
      </c>
      <c r="L1406" s="578">
        <f>L1407+L1409+L1412</f>
        <v>180222</v>
      </c>
      <c r="M1406" s="578">
        <f>M1407+M1409+M1412</f>
        <v>8750</v>
      </c>
      <c r="N1406" s="578">
        <f>L1406+M1406</f>
        <v>188972</v>
      </c>
      <c r="O1406" s="644">
        <f t="shared" si="228"/>
        <v>3500</v>
      </c>
      <c r="Q1406" s="635">
        <f t="shared" si="229"/>
        <v>3500</v>
      </c>
    </row>
    <row r="1407" spans="1:20" s="510" customFormat="1" ht="72" hidden="1" customHeight="1">
      <c r="A1407" s="501"/>
      <c r="B1407" s="502"/>
      <c r="C1407" s="503" t="s">
        <v>141</v>
      </c>
      <c r="D1407" s="504"/>
      <c r="E1407" s="505"/>
      <c r="F1407" s="504"/>
      <c r="G1407" s="504"/>
      <c r="H1407" s="504"/>
      <c r="I1407" s="506">
        <f>SUM(I1408:I1408)</f>
        <v>43499</v>
      </c>
      <c r="J1407" s="506">
        <f>SUM(J1408:J1408)</f>
        <v>0</v>
      </c>
      <c r="K1407" s="506">
        <f>I1407+J1407</f>
        <v>43499</v>
      </c>
      <c r="L1407" s="507">
        <f>SUM(L1408:L1408)</f>
        <v>43499</v>
      </c>
      <c r="M1407" s="507">
        <f>SUM(M1408:M1408)</f>
        <v>0</v>
      </c>
      <c r="N1407" s="507">
        <f>L1407+M1407</f>
        <v>43499</v>
      </c>
      <c r="O1407" s="640">
        <f t="shared" si="228"/>
        <v>0</v>
      </c>
      <c r="P1407" s="508"/>
      <c r="Q1407" s="635">
        <f t="shared" si="229"/>
        <v>0</v>
      </c>
      <c r="R1407" s="508"/>
      <c r="S1407" s="508"/>
      <c r="T1407" s="509"/>
    </row>
    <row r="1408" spans="1:20" ht="54.75" hidden="1" customHeight="1">
      <c r="A1408" s="273" t="s">
        <v>615</v>
      </c>
      <c r="B1408" s="481" t="s">
        <v>1197</v>
      </c>
      <c r="C1408" s="490" t="s">
        <v>317</v>
      </c>
      <c r="D1408" s="483">
        <v>8100</v>
      </c>
      <c r="E1408" s="484">
        <v>108288</v>
      </c>
      <c r="F1408" s="526" t="s">
        <v>1296</v>
      </c>
      <c r="G1408" s="488" t="s">
        <v>79</v>
      </c>
      <c r="H1408" s="489">
        <v>1</v>
      </c>
      <c r="I1408" s="473">
        <f>INT(L1408*$Q$139)</f>
        <v>43499</v>
      </c>
      <c r="J1408" s="473">
        <f>INT(M1408*$R$139)</f>
        <v>0</v>
      </c>
      <c r="K1408" s="473">
        <f>SUM(I1408:J1408)</f>
        <v>43499</v>
      </c>
      <c r="L1408" s="167">
        <v>43499</v>
      </c>
      <c r="M1408" s="167"/>
      <c r="N1408" s="167">
        <f>SUM(L1408,M1408)</f>
        <v>43499</v>
      </c>
      <c r="O1408" s="640">
        <f t="shared" si="228"/>
        <v>0</v>
      </c>
      <c r="P1408" s="405"/>
      <c r="Q1408" s="635">
        <f t="shared" si="229"/>
        <v>0</v>
      </c>
    </row>
    <row r="1409" spans="1:20" s="510" customFormat="1" ht="72" hidden="1" customHeight="1">
      <c r="A1409" s="501"/>
      <c r="B1409" s="502"/>
      <c r="C1409" s="503" t="s">
        <v>310</v>
      </c>
      <c r="D1409" s="504"/>
      <c r="E1409" s="505"/>
      <c r="F1409" s="504"/>
      <c r="G1409" s="504"/>
      <c r="H1409" s="504"/>
      <c r="I1409" s="506">
        <f>SUM(I1410:I1411)</f>
        <v>17500</v>
      </c>
      <c r="J1409" s="506">
        <f>SUM(J1410:J1411)</f>
        <v>8750</v>
      </c>
      <c r="K1409" s="506">
        <f>I1409+J1409</f>
        <v>26250</v>
      </c>
      <c r="L1409" s="507">
        <f>SUM(L1410:L1411)</f>
        <v>17500</v>
      </c>
      <c r="M1409" s="507">
        <f>SUM(M1410:M1411)</f>
        <v>8750</v>
      </c>
      <c r="N1409" s="507">
        <f>L1409+M1409</f>
        <v>26250</v>
      </c>
      <c r="O1409" s="640">
        <f t="shared" si="228"/>
        <v>3500</v>
      </c>
      <c r="P1409" s="508"/>
      <c r="Q1409" s="635">
        <f t="shared" si="229"/>
        <v>3500</v>
      </c>
      <c r="R1409" s="508"/>
      <c r="S1409" s="508"/>
      <c r="T1409" s="509"/>
    </row>
    <row r="1410" spans="1:20" ht="54.75" customHeight="1">
      <c r="A1410" s="273" t="s">
        <v>617</v>
      </c>
      <c r="B1410" s="481" t="s">
        <v>1032</v>
      </c>
      <c r="C1410" s="490" t="s">
        <v>681</v>
      </c>
      <c r="D1410" s="483">
        <v>8100</v>
      </c>
      <c r="E1410" s="484">
        <v>108288</v>
      </c>
      <c r="F1410" s="526" t="s">
        <v>1296</v>
      </c>
      <c r="G1410" s="488" t="s">
        <v>725</v>
      </c>
      <c r="H1410" s="489">
        <v>1</v>
      </c>
      <c r="I1410" s="473">
        <f>INT(L1410*$Q$139)</f>
        <v>17500</v>
      </c>
      <c r="J1410" s="473">
        <f>INT(M1410*$R$139)</f>
        <v>8750</v>
      </c>
      <c r="K1410" s="473">
        <f>SUM(I1410:J1410)</f>
        <v>26250</v>
      </c>
      <c r="L1410" s="167">
        <v>17500</v>
      </c>
      <c r="M1410" s="167">
        <v>8750</v>
      </c>
      <c r="N1410" s="167">
        <f>SUM(L1410,M1410)</f>
        <v>26250</v>
      </c>
      <c r="O1410" s="640">
        <f t="shared" si="228"/>
        <v>3500</v>
      </c>
      <c r="P1410" s="405"/>
      <c r="Q1410" s="635">
        <f t="shared" si="229"/>
        <v>3500</v>
      </c>
    </row>
    <row r="1411" spans="1:20" ht="54.75" hidden="1" customHeight="1">
      <c r="A1411" s="273"/>
      <c r="B1411" s="481" t="s">
        <v>1195</v>
      </c>
      <c r="C1411" s="490" t="s">
        <v>1074</v>
      </c>
      <c r="D1411" s="483">
        <v>112</v>
      </c>
      <c r="E1411" s="484">
        <v>108288</v>
      </c>
      <c r="F1411" s="526" t="s">
        <v>1087</v>
      </c>
      <c r="G1411" s="488" t="s">
        <v>1075</v>
      </c>
      <c r="H1411" s="489"/>
      <c r="I1411" s="473">
        <f>INT(L1411*$Q$139)</f>
        <v>0</v>
      </c>
      <c r="J1411" s="473">
        <f>INT(M1411*$R$139)</f>
        <v>0</v>
      </c>
      <c r="K1411" s="473">
        <f>SUM(I1411:J1411)</f>
        <v>0</v>
      </c>
      <c r="L1411" s="167"/>
      <c r="M1411" s="167"/>
      <c r="N1411" s="167">
        <f>L1411+M1411</f>
        <v>0</v>
      </c>
      <c r="O1411" s="640">
        <f t="shared" si="228"/>
        <v>0</v>
      </c>
      <c r="P1411" s="405"/>
      <c r="Q1411" s="635">
        <f t="shared" si="229"/>
        <v>0</v>
      </c>
    </row>
    <row r="1412" spans="1:20" s="510" customFormat="1" ht="72" hidden="1" customHeight="1">
      <c r="A1412" s="501"/>
      <c r="B1412" s="502"/>
      <c r="C1412" s="503" t="s">
        <v>307</v>
      </c>
      <c r="D1412" s="504"/>
      <c r="E1412" s="505"/>
      <c r="F1412" s="504"/>
      <c r="G1412" s="504"/>
      <c r="H1412" s="504"/>
      <c r="I1412" s="506">
        <f>SUM(I1413:I1413)</f>
        <v>119223</v>
      </c>
      <c r="J1412" s="506">
        <f>SUM(J1413:J1413)</f>
        <v>0</v>
      </c>
      <c r="K1412" s="506">
        <f>I1412+J1412</f>
        <v>119223</v>
      </c>
      <c r="L1412" s="507">
        <f>SUM(L1413:L1413)</f>
        <v>119223</v>
      </c>
      <c r="M1412" s="507">
        <f>SUM(M1413:M1413)</f>
        <v>0</v>
      </c>
      <c r="N1412" s="507">
        <f>L1412+M1412</f>
        <v>119223</v>
      </c>
      <c r="O1412" s="640">
        <f t="shared" si="228"/>
        <v>0</v>
      </c>
      <c r="P1412" s="508"/>
      <c r="Q1412" s="635">
        <f t="shared" si="229"/>
        <v>0</v>
      </c>
      <c r="R1412" s="508"/>
      <c r="S1412" s="508"/>
      <c r="T1412" s="509"/>
    </row>
    <row r="1413" spans="1:20" ht="54.75" hidden="1" customHeight="1">
      <c r="A1413" s="273" t="s">
        <v>669</v>
      </c>
      <c r="B1413" s="481" t="s">
        <v>1183</v>
      </c>
      <c r="C1413" s="490" t="s">
        <v>1103</v>
      </c>
      <c r="D1413" s="483">
        <v>8100</v>
      </c>
      <c r="E1413" s="484">
        <v>108288</v>
      </c>
      <c r="F1413" s="526" t="s">
        <v>1296</v>
      </c>
      <c r="G1413" s="488" t="s">
        <v>143</v>
      </c>
      <c r="H1413" s="489">
        <v>2500</v>
      </c>
      <c r="I1413" s="473">
        <f>INT(L1413*$Q$139)</f>
        <v>119223</v>
      </c>
      <c r="J1413" s="473">
        <f>INT(M1413*$R$139)</f>
        <v>0</v>
      </c>
      <c r="K1413" s="473">
        <f>SUM(I1413:J1413)</f>
        <v>119223</v>
      </c>
      <c r="L1413" s="167">
        <f>188972-17500-8750-43499</f>
        <v>119223</v>
      </c>
      <c r="M1413" s="167"/>
      <c r="N1413" s="167">
        <f>SUM(L1413,M1413)</f>
        <v>119223</v>
      </c>
      <c r="O1413" s="640">
        <f t="shared" si="228"/>
        <v>0</v>
      </c>
      <c r="P1413" s="405"/>
      <c r="Q1413" s="635">
        <f t="shared" si="229"/>
        <v>0</v>
      </c>
    </row>
    <row r="1414" spans="1:20" s="579" customFormat="1" ht="78.75" customHeight="1">
      <c r="A1414" s="572"/>
      <c r="B1414" s="572"/>
      <c r="C1414" s="584" t="s">
        <v>1088</v>
      </c>
      <c r="D1414" s="574"/>
      <c r="E1414" s="574"/>
      <c r="F1414" s="575" t="s">
        <v>1292</v>
      </c>
      <c r="G1414" s="576"/>
      <c r="H1414" s="576"/>
      <c r="I1414" s="577">
        <f>SUM(I1415,I1417,I1420,I1423)</f>
        <v>60999</v>
      </c>
      <c r="J1414" s="577">
        <f>SUM(J1415,J1417,J1420,J1423)</f>
        <v>8750</v>
      </c>
      <c r="K1414" s="577">
        <f>I1414+J1414</f>
        <v>69749</v>
      </c>
      <c r="L1414" s="578">
        <f>SUM(L1415,L1417,L1420,L1423)</f>
        <v>60999</v>
      </c>
      <c r="M1414" s="578">
        <f>SUM(M1415,M1417,M1420,M1423)</f>
        <v>8750</v>
      </c>
      <c r="N1414" s="578">
        <f>L1414+M1414</f>
        <v>69749</v>
      </c>
      <c r="O1414" s="644">
        <f t="shared" si="228"/>
        <v>3500</v>
      </c>
      <c r="Q1414" s="635">
        <f t="shared" si="229"/>
        <v>3500</v>
      </c>
    </row>
    <row r="1415" spans="1:20" s="510" customFormat="1" ht="72" hidden="1" customHeight="1">
      <c r="A1415" s="501"/>
      <c r="B1415" s="502"/>
      <c r="C1415" s="503" t="s">
        <v>141</v>
      </c>
      <c r="D1415" s="504"/>
      <c r="E1415" s="505"/>
      <c r="F1415" s="504"/>
      <c r="G1415" s="504"/>
      <c r="H1415" s="504"/>
      <c r="I1415" s="506">
        <f>SUM(I1416:I1416)</f>
        <v>43499</v>
      </c>
      <c r="J1415" s="506">
        <f>SUM(J1416:J1416)</f>
        <v>0</v>
      </c>
      <c r="K1415" s="506">
        <f>I1415+J1415</f>
        <v>43499</v>
      </c>
      <c r="L1415" s="507">
        <f>SUM(L1416:L1416)</f>
        <v>43499</v>
      </c>
      <c r="M1415" s="507">
        <f>SUM(M1416:M1416)</f>
        <v>0</v>
      </c>
      <c r="N1415" s="507">
        <f>L1415+M1415</f>
        <v>43499</v>
      </c>
      <c r="O1415" s="640">
        <f t="shared" si="228"/>
        <v>0</v>
      </c>
      <c r="P1415" s="508"/>
      <c r="Q1415" s="635">
        <f t="shared" si="229"/>
        <v>0</v>
      </c>
      <c r="R1415" s="508"/>
      <c r="S1415" s="508"/>
      <c r="T1415" s="509"/>
    </row>
    <row r="1416" spans="1:20" ht="54.75" hidden="1" customHeight="1">
      <c r="A1416" s="273" t="s">
        <v>615</v>
      </c>
      <c r="B1416" s="481" t="s">
        <v>1197</v>
      </c>
      <c r="C1416" s="490" t="s">
        <v>317</v>
      </c>
      <c r="D1416" s="483">
        <v>8100</v>
      </c>
      <c r="E1416" s="484">
        <v>108288</v>
      </c>
      <c r="F1416" s="526" t="s">
        <v>1089</v>
      </c>
      <c r="G1416" s="488" t="s">
        <v>79</v>
      </c>
      <c r="H1416" s="489">
        <v>1</v>
      </c>
      <c r="I1416" s="473">
        <f>INT(L1416*$Q$139)</f>
        <v>43499</v>
      </c>
      <c r="J1416" s="473">
        <f>INT(M1416*$R$139)</f>
        <v>0</v>
      </c>
      <c r="K1416" s="473">
        <f>SUM(I1416:J1416)</f>
        <v>43499</v>
      </c>
      <c r="L1416" s="167">
        <v>43499</v>
      </c>
      <c r="M1416" s="167"/>
      <c r="N1416" s="167">
        <f>SUM(L1416,M1416)</f>
        <v>43499</v>
      </c>
      <c r="O1416" s="640">
        <f t="shared" si="228"/>
        <v>0</v>
      </c>
      <c r="P1416" s="405"/>
      <c r="Q1416" s="635">
        <f t="shared" si="229"/>
        <v>0</v>
      </c>
    </row>
    <row r="1417" spans="1:20" s="510" customFormat="1" ht="72" hidden="1" customHeight="1">
      <c r="A1417" s="501"/>
      <c r="B1417" s="502"/>
      <c r="C1417" s="503" t="s">
        <v>310</v>
      </c>
      <c r="D1417" s="504"/>
      <c r="E1417" s="505"/>
      <c r="F1417" s="504"/>
      <c r="G1417" s="504"/>
      <c r="H1417" s="504"/>
      <c r="I1417" s="506">
        <f>SUM(I1418:I1419)</f>
        <v>17500</v>
      </c>
      <c r="J1417" s="506">
        <f>SUM(J1418:J1419)</f>
        <v>8750</v>
      </c>
      <c r="K1417" s="506">
        <f>I1417+J1417</f>
        <v>26250</v>
      </c>
      <c r="L1417" s="507">
        <f>SUM(L1418:L1419)</f>
        <v>17500</v>
      </c>
      <c r="M1417" s="507">
        <f>SUM(M1418:M1419)</f>
        <v>8750</v>
      </c>
      <c r="N1417" s="507">
        <f>L1417+M1417</f>
        <v>26250</v>
      </c>
      <c r="O1417" s="640">
        <f t="shared" si="228"/>
        <v>3500</v>
      </c>
      <c r="P1417" s="508"/>
      <c r="Q1417" s="635">
        <f t="shared" si="229"/>
        <v>3500</v>
      </c>
      <c r="R1417" s="508"/>
      <c r="S1417" s="508"/>
      <c r="T1417" s="509"/>
    </row>
    <row r="1418" spans="1:20" ht="54.75" customHeight="1">
      <c r="A1418" s="273" t="s">
        <v>617</v>
      </c>
      <c r="B1418" s="481" t="s">
        <v>1032</v>
      </c>
      <c r="C1418" s="490" t="s">
        <v>681</v>
      </c>
      <c r="D1418" s="483">
        <v>8100</v>
      </c>
      <c r="E1418" s="484">
        <v>108288</v>
      </c>
      <c r="F1418" s="526" t="s">
        <v>1089</v>
      </c>
      <c r="G1418" s="488" t="s">
        <v>725</v>
      </c>
      <c r="H1418" s="489">
        <v>1</v>
      </c>
      <c r="I1418" s="473">
        <f>INT(L1418*$Q$139)</f>
        <v>17500</v>
      </c>
      <c r="J1418" s="473">
        <f>INT(M1418*$R$139)</f>
        <v>8750</v>
      </c>
      <c r="K1418" s="473">
        <f>SUM(I1418:J1418)</f>
        <v>26250</v>
      </c>
      <c r="L1418" s="167">
        <v>17500</v>
      </c>
      <c r="M1418" s="167">
        <v>8750</v>
      </c>
      <c r="N1418" s="167">
        <f>SUM(L1418,M1418)</f>
        <v>26250</v>
      </c>
      <c r="O1418" s="640">
        <f t="shared" si="228"/>
        <v>3500</v>
      </c>
      <c r="P1418" s="405"/>
      <c r="Q1418" s="635">
        <f t="shared" si="229"/>
        <v>3500</v>
      </c>
    </row>
    <row r="1419" spans="1:20" ht="54.75" hidden="1" customHeight="1">
      <c r="A1419" s="273"/>
      <c r="B1419" s="481" t="s">
        <v>1195</v>
      </c>
      <c r="C1419" s="490" t="s">
        <v>1074</v>
      </c>
      <c r="D1419" s="483">
        <v>112</v>
      </c>
      <c r="E1419" s="484">
        <v>108288</v>
      </c>
      <c r="F1419" s="526" t="s">
        <v>1089</v>
      </c>
      <c r="G1419" s="488" t="s">
        <v>1075</v>
      </c>
      <c r="H1419" s="489"/>
      <c r="I1419" s="473">
        <f>INT(L1419*$Q$139)</f>
        <v>0</v>
      </c>
      <c r="J1419" s="473">
        <f>INT(M1419*$R$139)</f>
        <v>0</v>
      </c>
      <c r="K1419" s="473">
        <f>SUM(I1419:J1419)</f>
        <v>0</v>
      </c>
      <c r="L1419" s="167"/>
      <c r="M1419" s="167"/>
      <c r="N1419" s="167">
        <f>L1419+M1419</f>
        <v>0</v>
      </c>
      <c r="O1419" s="640">
        <f t="shared" si="228"/>
        <v>0</v>
      </c>
      <c r="P1419" s="405"/>
      <c r="Q1419" s="635">
        <f t="shared" si="229"/>
        <v>0</v>
      </c>
    </row>
    <row r="1420" spans="1:20" ht="88.5" hidden="1" customHeight="1">
      <c r="A1420" s="609"/>
      <c r="B1420" s="1287" t="s">
        <v>1276</v>
      </c>
      <c r="C1420" s="1287"/>
      <c r="D1420" s="1287"/>
      <c r="E1420" s="1287"/>
      <c r="F1420" s="1287"/>
      <c r="G1420" s="1287"/>
      <c r="H1420" s="1287"/>
      <c r="I1420" s="1287"/>
      <c r="J1420" s="1287"/>
      <c r="K1420" s="1287"/>
      <c r="L1420" s="609"/>
      <c r="M1420" s="609"/>
      <c r="N1420" s="609"/>
      <c r="O1420" s="640">
        <f t="shared" si="228"/>
        <v>0</v>
      </c>
      <c r="Q1420" s="635">
        <f t="shared" si="229"/>
        <v>0</v>
      </c>
    </row>
    <row r="1421" spans="1:20" ht="48.75" hidden="1" customHeight="1">
      <c r="A1421" s="609"/>
      <c r="B1421" s="1287" t="s">
        <v>1317</v>
      </c>
      <c r="C1421" s="1287"/>
      <c r="D1421" s="1287"/>
      <c r="E1421" s="1287"/>
      <c r="F1421" s="1287"/>
      <c r="G1421" s="1287"/>
      <c r="H1421" s="1287"/>
      <c r="I1421" s="1287"/>
      <c r="J1421" s="1287"/>
      <c r="K1421" s="1287"/>
      <c r="L1421" s="609"/>
      <c r="M1421" s="609"/>
      <c r="N1421" s="609"/>
      <c r="O1421" s="640">
        <f t="shared" si="228"/>
        <v>0</v>
      </c>
      <c r="Q1421" s="635">
        <f t="shared" si="229"/>
        <v>0</v>
      </c>
    </row>
    <row r="1422" spans="1:20" ht="21.95" hidden="1" customHeight="1" thickBot="1">
      <c r="A1422" s="609"/>
      <c r="B1422" s="609"/>
      <c r="C1422" s="609"/>
      <c r="D1422" s="609"/>
      <c r="E1422" s="609"/>
      <c r="F1422" s="609"/>
      <c r="G1422" s="117"/>
      <c r="H1422" s="117"/>
      <c r="I1422" s="117"/>
      <c r="J1422" s="117"/>
      <c r="K1422" s="117"/>
      <c r="L1422" s="609"/>
      <c r="M1422" s="609"/>
      <c r="N1422" s="609"/>
      <c r="O1422" s="640">
        <f t="shared" si="228"/>
        <v>0</v>
      </c>
      <c r="P1422" s="27"/>
      <c r="Q1422" s="635">
        <f t="shared" si="229"/>
        <v>0</v>
      </c>
      <c r="R1422" s="27"/>
      <c r="S1422" s="27"/>
      <c r="T1422" s="27"/>
    </row>
    <row r="1423" spans="1:20" ht="29.25" hidden="1" customHeight="1">
      <c r="C1423" s="1204" t="s">
        <v>51</v>
      </c>
      <c r="D1423" s="1204"/>
      <c r="E1423" s="1204"/>
      <c r="F1423" s="1204"/>
      <c r="H1423" s="1243" t="s">
        <v>11</v>
      </c>
      <c r="I1423" s="1244"/>
      <c r="J1423" s="1244"/>
      <c r="K1423" s="1245"/>
      <c r="L1423" s="337"/>
      <c r="M1423" s="337"/>
      <c r="N1423" s="337"/>
      <c r="O1423" s="640">
        <f t="shared" si="228"/>
        <v>0</v>
      </c>
      <c r="P1423" s="27"/>
      <c r="Q1423" s="635">
        <f t="shared" si="229"/>
        <v>0</v>
      </c>
      <c r="R1423" s="27"/>
      <c r="S1423" s="27"/>
      <c r="T1423" s="27"/>
    </row>
    <row r="1424" spans="1:20" ht="18" hidden="1" customHeight="1">
      <c r="C1424" s="1204" t="s">
        <v>52</v>
      </c>
      <c r="D1424" s="1204"/>
      <c r="E1424" s="1204"/>
      <c r="F1424" s="1204"/>
      <c r="H1424" s="1208" t="s">
        <v>21</v>
      </c>
      <c r="I1424" s="1209"/>
      <c r="J1424" s="1209"/>
      <c r="K1424" s="1210"/>
      <c r="L1424" s="336"/>
      <c r="M1424" s="336"/>
      <c r="N1424" s="336"/>
      <c r="O1424" s="640">
        <f t="shared" si="228"/>
        <v>0</v>
      </c>
      <c r="P1424" s="27"/>
      <c r="Q1424" s="635">
        <f t="shared" si="229"/>
        <v>0</v>
      </c>
      <c r="R1424" s="27"/>
      <c r="S1424" s="27"/>
      <c r="T1424" s="27"/>
    </row>
    <row r="1425" spans="1:20" ht="34.5" hidden="1" customHeight="1">
      <c r="C1425" s="1204" t="s">
        <v>50</v>
      </c>
      <c r="D1425" s="1204"/>
      <c r="E1425" s="1204"/>
      <c r="F1425" s="1204"/>
      <c r="H1425" s="1211"/>
      <c r="I1425" s="1212"/>
      <c r="J1425" s="1212"/>
      <c r="K1425" s="1213"/>
      <c r="L1425" s="336"/>
      <c r="M1425" s="336"/>
      <c r="N1425" s="336"/>
      <c r="O1425" s="640">
        <f t="shared" si="228"/>
        <v>0</v>
      </c>
      <c r="P1425" s="27"/>
      <c r="Q1425" s="635">
        <f t="shared" si="229"/>
        <v>0</v>
      </c>
      <c r="R1425" s="27"/>
      <c r="S1425" s="27"/>
      <c r="T1425" s="27"/>
    </row>
    <row r="1426" spans="1:20" ht="39.75" hidden="1" customHeight="1">
      <c r="C1426" s="1252"/>
      <c r="D1426" s="1252"/>
      <c r="E1426" s="1252"/>
      <c r="F1426" s="1252"/>
      <c r="G1426" s="44"/>
      <c r="H1426" s="1211" t="s">
        <v>22</v>
      </c>
      <c r="I1426" s="1212"/>
      <c r="J1426" s="1212"/>
      <c r="K1426" s="477">
        <f>K1488</f>
        <v>14317270</v>
      </c>
      <c r="L1426" s="336"/>
      <c r="M1426" s="336"/>
      <c r="N1426" s="86"/>
      <c r="O1426" s="640">
        <f t="shared" si="228"/>
        <v>0</v>
      </c>
      <c r="P1426" s="27"/>
      <c r="Q1426" s="635">
        <f t="shared" si="229"/>
        <v>0</v>
      </c>
      <c r="R1426" s="27"/>
      <c r="S1426" s="27"/>
      <c r="T1426" s="27"/>
    </row>
    <row r="1427" spans="1:20" ht="37.5" hidden="1" customHeight="1" thickBot="1">
      <c r="A1427" s="75"/>
      <c r="B1427" s="75"/>
      <c r="C1427" s="65"/>
      <c r="D1427" s="65"/>
      <c r="E1427" s="65"/>
      <c r="F1427" s="431"/>
      <c r="G1427" s="10"/>
      <c r="H1427" s="1283" t="s">
        <v>13</v>
      </c>
      <c r="I1427" s="1284"/>
      <c r="J1427" s="1284"/>
      <c r="K1427" s="1285"/>
      <c r="L1427" s="336"/>
      <c r="M1427" s="336"/>
      <c r="N1427" s="336"/>
      <c r="O1427" s="640">
        <f t="shared" si="228"/>
        <v>0</v>
      </c>
      <c r="P1427" s="27"/>
      <c r="Q1427" s="635">
        <f t="shared" si="229"/>
        <v>0</v>
      </c>
      <c r="R1427" s="27"/>
      <c r="S1427" s="27"/>
      <c r="T1427" s="27"/>
    </row>
    <row r="1428" spans="1:20" ht="30" hidden="1" customHeight="1">
      <c r="A1428" s="609"/>
      <c r="B1428" s="609"/>
      <c r="C1428" s="609"/>
      <c r="D1428" s="609"/>
      <c r="E1428" s="609"/>
      <c r="F1428" s="609"/>
      <c r="G1428" s="117"/>
      <c r="H1428" s="117"/>
      <c r="I1428" s="117"/>
      <c r="J1428" s="117"/>
      <c r="K1428" s="117"/>
      <c r="L1428" s="609"/>
      <c r="M1428" s="609"/>
      <c r="N1428" s="609"/>
      <c r="O1428" s="640">
        <f t="shared" si="228"/>
        <v>0</v>
      </c>
      <c r="P1428" s="27"/>
      <c r="Q1428" s="635">
        <f t="shared" si="229"/>
        <v>0</v>
      </c>
      <c r="R1428" s="27"/>
      <c r="S1428" s="27"/>
      <c r="T1428" s="27"/>
    </row>
    <row r="1429" spans="1:20" ht="39.950000000000003" hidden="1" customHeight="1">
      <c r="A1429" s="346"/>
      <c r="B1429" s="1226" t="s">
        <v>1037</v>
      </c>
      <c r="C1429" s="1226"/>
      <c r="D1429" s="1226"/>
      <c r="E1429" s="1226"/>
      <c r="F1429" s="1226"/>
      <c r="G1429" s="1226"/>
      <c r="H1429" s="1226"/>
      <c r="I1429" s="1226"/>
      <c r="J1429" s="1226"/>
      <c r="K1429" s="1226"/>
      <c r="L1429" s="346"/>
      <c r="M1429" s="346"/>
      <c r="N1429" s="346"/>
      <c r="O1429" s="640">
        <f t="shared" si="228"/>
        <v>0</v>
      </c>
      <c r="P1429" s="27"/>
      <c r="Q1429" s="635">
        <f t="shared" si="229"/>
        <v>0</v>
      </c>
      <c r="R1429" s="27"/>
      <c r="S1429" s="27"/>
      <c r="T1429" s="27"/>
    </row>
    <row r="1430" spans="1:20" ht="20.100000000000001" hidden="1" customHeight="1">
      <c r="A1430" s="46"/>
      <c r="B1430" s="46"/>
      <c r="C1430" s="46"/>
      <c r="D1430" s="46"/>
      <c r="E1430" s="46"/>
      <c r="F1430" s="46"/>
      <c r="G1430" s="46"/>
      <c r="H1430" s="46"/>
      <c r="I1430" s="46"/>
      <c r="J1430" s="46"/>
      <c r="K1430" s="46"/>
      <c r="L1430" s="46"/>
      <c r="M1430" s="46"/>
      <c r="N1430" s="46"/>
      <c r="O1430" s="640">
        <f t="shared" si="228"/>
        <v>0</v>
      </c>
      <c r="P1430" s="27"/>
      <c r="Q1430" s="635">
        <f t="shared" si="229"/>
        <v>0</v>
      </c>
      <c r="R1430" s="27"/>
      <c r="S1430" s="27"/>
      <c r="T1430" s="27"/>
    </row>
    <row r="1431" spans="1:20" s="500" customFormat="1" ht="90" hidden="1">
      <c r="A1431" s="496" t="s">
        <v>14</v>
      </c>
      <c r="B1431" s="497" t="s">
        <v>14</v>
      </c>
      <c r="C1431" s="497" t="s">
        <v>37</v>
      </c>
      <c r="D1431" s="497" t="s">
        <v>440</v>
      </c>
      <c r="E1431" s="497" t="s">
        <v>16</v>
      </c>
      <c r="F1431" s="497" t="s">
        <v>185</v>
      </c>
      <c r="G1431" s="497" t="s">
        <v>178</v>
      </c>
      <c r="H1431" s="497" t="s">
        <v>179</v>
      </c>
      <c r="I1431" s="497" t="s">
        <v>180</v>
      </c>
      <c r="J1431" s="497" t="s">
        <v>1275</v>
      </c>
      <c r="K1431" s="497" t="s">
        <v>200</v>
      </c>
      <c r="L1431" s="496" t="s">
        <v>180</v>
      </c>
      <c r="M1431" s="496" t="s">
        <v>181</v>
      </c>
      <c r="N1431" s="496" t="s">
        <v>200</v>
      </c>
      <c r="O1431" s="640" t="e">
        <f t="shared" si="228"/>
        <v>#VALUE!</v>
      </c>
      <c r="P1431" s="498"/>
      <c r="Q1431" s="635" t="e">
        <f t="shared" si="229"/>
        <v>#VALUE!</v>
      </c>
      <c r="R1431" s="498"/>
      <c r="S1431" s="498"/>
      <c r="T1431" s="499"/>
    </row>
    <row r="1432" spans="1:20" s="579" customFormat="1" ht="46.5" customHeight="1">
      <c r="A1432" s="572"/>
      <c r="B1432" s="572"/>
      <c r="C1432" s="573" t="s">
        <v>162</v>
      </c>
      <c r="D1432" s="574"/>
      <c r="E1432" s="574"/>
      <c r="F1432" s="575" t="s">
        <v>124</v>
      </c>
      <c r="G1432" s="576"/>
      <c r="H1432" s="576"/>
      <c r="I1432" s="577">
        <f>SUM(I1433,I1435,I1438,I1441,I1443,I1446)</f>
        <v>350822</v>
      </c>
      <c r="J1432" s="577">
        <f>SUM(J1433,J1435,J1438,J1441,J1443,J1446)</f>
        <v>40726</v>
      </c>
      <c r="K1432" s="577">
        <f>I1432+J1432</f>
        <v>391548</v>
      </c>
      <c r="L1432" s="578">
        <f>SUM(L1433,L1435,L1438,L1441,L1443,L1446)</f>
        <v>350822</v>
      </c>
      <c r="M1432" s="578">
        <f>SUM(M1433,M1435,M1438,M1441,M1443,M1446)</f>
        <v>40726</v>
      </c>
      <c r="N1432" s="578">
        <f>L1432+M1432</f>
        <v>391548</v>
      </c>
      <c r="O1432" s="644">
        <f t="shared" si="228"/>
        <v>16290.4</v>
      </c>
      <c r="Q1432" s="635">
        <f t="shared" si="229"/>
        <v>16290.4</v>
      </c>
    </row>
    <row r="1433" spans="1:20" s="510" customFormat="1" ht="72" hidden="1" customHeight="1">
      <c r="A1433" s="501"/>
      <c r="B1433" s="502"/>
      <c r="C1433" s="503" t="s">
        <v>292</v>
      </c>
      <c r="D1433" s="504"/>
      <c r="E1433" s="505"/>
      <c r="F1433" s="504"/>
      <c r="G1433" s="504"/>
      <c r="H1433" s="504"/>
      <c r="I1433" s="506">
        <f>I1434</f>
        <v>59640</v>
      </c>
      <c r="J1433" s="506">
        <f>J1434</f>
        <v>0</v>
      </c>
      <c r="K1433" s="506">
        <f>I1433+J1433</f>
        <v>59640</v>
      </c>
      <c r="L1433" s="507">
        <f>L1434</f>
        <v>59640</v>
      </c>
      <c r="M1433" s="507">
        <f>M1434</f>
        <v>0</v>
      </c>
      <c r="N1433" s="507">
        <f>L1433+M1433</f>
        <v>59640</v>
      </c>
      <c r="O1433" s="640">
        <f t="shared" si="228"/>
        <v>0</v>
      </c>
      <c r="P1433" s="508"/>
      <c r="Q1433" s="635">
        <f t="shared" si="229"/>
        <v>0</v>
      </c>
      <c r="R1433" s="508"/>
      <c r="S1433" s="508"/>
      <c r="T1433" s="509"/>
    </row>
    <row r="1434" spans="1:20" ht="54.75" hidden="1" customHeight="1">
      <c r="A1434" s="273" t="s">
        <v>249</v>
      </c>
      <c r="B1434" s="481" t="s">
        <v>1172</v>
      </c>
      <c r="C1434" s="490" t="s">
        <v>1226</v>
      </c>
      <c r="D1434" s="483">
        <v>8100</v>
      </c>
      <c r="E1434" s="484">
        <v>108288</v>
      </c>
      <c r="F1434" s="526" t="s">
        <v>172</v>
      </c>
      <c r="G1434" s="488" t="s">
        <v>329</v>
      </c>
      <c r="H1434" s="491">
        <v>1</v>
      </c>
      <c r="I1434" s="473">
        <f>INT(L1434*$Q$139)</f>
        <v>59640</v>
      </c>
      <c r="J1434" s="473">
        <f>INT(M1434*$R$139)</f>
        <v>0</v>
      </c>
      <c r="K1434" s="473">
        <f>SUM(I1434:J1434)</f>
        <v>59640</v>
      </c>
      <c r="L1434" s="167">
        <v>59640</v>
      </c>
      <c r="M1434" s="167"/>
      <c r="N1434" s="167">
        <f>SUM(L1434,M1434)</f>
        <v>59640</v>
      </c>
      <c r="O1434" s="640">
        <f t="shared" si="228"/>
        <v>0</v>
      </c>
      <c r="P1434" s="405"/>
      <c r="Q1434" s="635">
        <f t="shared" si="229"/>
        <v>0</v>
      </c>
    </row>
    <row r="1435" spans="1:20" s="510" customFormat="1" ht="72" hidden="1" customHeight="1">
      <c r="A1435" s="501"/>
      <c r="B1435" s="502"/>
      <c r="C1435" s="503" t="s">
        <v>141</v>
      </c>
      <c r="D1435" s="504"/>
      <c r="E1435" s="505"/>
      <c r="F1435" s="504"/>
      <c r="G1435" s="504"/>
      <c r="H1435" s="504"/>
      <c r="I1435" s="506">
        <f>SUM(I1436:I1437)</f>
        <v>234708</v>
      </c>
      <c r="J1435" s="506">
        <f>SUM(J1436:J1437)</f>
        <v>0</v>
      </c>
      <c r="K1435" s="506">
        <f>I1435+J1435</f>
        <v>234708</v>
      </c>
      <c r="L1435" s="507">
        <f>SUM(L1436:L1437)</f>
        <v>234708</v>
      </c>
      <c r="M1435" s="507">
        <f>SUM(M1436:M1437)</f>
        <v>0</v>
      </c>
      <c r="N1435" s="507">
        <f>L1435+M1435</f>
        <v>234708</v>
      </c>
      <c r="O1435" s="640">
        <f t="shared" si="228"/>
        <v>0</v>
      </c>
      <c r="P1435" s="508"/>
      <c r="Q1435" s="635">
        <f t="shared" si="229"/>
        <v>0</v>
      </c>
      <c r="R1435" s="508"/>
      <c r="S1435" s="508"/>
      <c r="T1435" s="509"/>
    </row>
    <row r="1436" spans="1:20" ht="54.75" hidden="1" customHeight="1">
      <c r="A1436" s="273" t="s">
        <v>248</v>
      </c>
      <c r="B1436" s="481" t="s">
        <v>1173</v>
      </c>
      <c r="C1436" s="490" t="s">
        <v>317</v>
      </c>
      <c r="D1436" s="483">
        <v>8100</v>
      </c>
      <c r="E1436" s="484">
        <v>108288</v>
      </c>
      <c r="F1436" s="526" t="s">
        <v>172</v>
      </c>
      <c r="G1436" s="488" t="s">
        <v>143</v>
      </c>
      <c r="H1436" s="489">
        <v>1695</v>
      </c>
      <c r="I1436" s="473">
        <f>INT(L1436*$Q$139)</f>
        <v>204708</v>
      </c>
      <c r="J1436" s="473">
        <f>INT(M1436*$R$139)</f>
        <v>0</v>
      </c>
      <c r="K1436" s="473">
        <f>SUM(I1436:J1436)</f>
        <v>204708</v>
      </c>
      <c r="L1436" s="167">
        <v>204708</v>
      </c>
      <c r="M1436" s="167"/>
      <c r="N1436" s="167">
        <f>SUM(L1436,M1436)</f>
        <v>204708</v>
      </c>
      <c r="O1436" s="640">
        <f t="shared" si="228"/>
        <v>0</v>
      </c>
      <c r="P1436" s="405"/>
      <c r="Q1436" s="635">
        <f t="shared" si="229"/>
        <v>0</v>
      </c>
    </row>
    <row r="1437" spans="1:20" ht="54.75" hidden="1" customHeight="1">
      <c r="A1437" s="273"/>
      <c r="B1437" s="481" t="s">
        <v>1200</v>
      </c>
      <c r="C1437" s="490" t="s">
        <v>506</v>
      </c>
      <c r="D1437" s="483">
        <v>8100</v>
      </c>
      <c r="E1437" s="484">
        <v>108288</v>
      </c>
      <c r="F1437" s="526" t="s">
        <v>172</v>
      </c>
      <c r="G1437" s="488" t="s">
        <v>1293</v>
      </c>
      <c r="H1437" s="491">
        <v>1</v>
      </c>
      <c r="I1437" s="473">
        <f>INT(L1437*$Q$139)</f>
        <v>30000</v>
      </c>
      <c r="J1437" s="473">
        <f>INT(M1437*$R$139)</f>
        <v>0</v>
      </c>
      <c r="K1437" s="473">
        <f>SUM(I1437:J1437)</f>
        <v>30000</v>
      </c>
      <c r="L1437" s="167">
        <v>30000</v>
      </c>
      <c r="M1437" s="167"/>
      <c r="N1437" s="167">
        <f>SUM(L1437,M1437)</f>
        <v>30000</v>
      </c>
      <c r="O1437" s="640">
        <f t="shared" si="228"/>
        <v>0</v>
      </c>
      <c r="P1437" s="405"/>
      <c r="Q1437" s="635">
        <f t="shared" si="229"/>
        <v>0</v>
      </c>
    </row>
    <row r="1438" spans="1:20" s="510" customFormat="1" ht="72" hidden="1" customHeight="1">
      <c r="A1438" s="501"/>
      <c r="B1438" s="502"/>
      <c r="C1438" s="503" t="s">
        <v>310</v>
      </c>
      <c r="D1438" s="504"/>
      <c r="E1438" s="505"/>
      <c r="F1438" s="504"/>
      <c r="G1438" s="504"/>
      <c r="H1438" s="504"/>
      <c r="I1438" s="506">
        <f>SUM(I1439:I1440)</f>
        <v>15395</v>
      </c>
      <c r="J1438" s="506">
        <f>SUM(J1439:J1440)</f>
        <v>25500</v>
      </c>
      <c r="K1438" s="506">
        <f>I1438+J1438</f>
        <v>40895</v>
      </c>
      <c r="L1438" s="507">
        <f>SUM(L1439:L1440)</f>
        <v>15395</v>
      </c>
      <c r="M1438" s="507">
        <f>SUM(M1439:M1440)</f>
        <v>25500</v>
      </c>
      <c r="N1438" s="507">
        <f>L1438+M1438</f>
        <v>40895</v>
      </c>
      <c r="O1438" s="640">
        <f t="shared" si="228"/>
        <v>10200</v>
      </c>
      <c r="P1438" s="508"/>
      <c r="Q1438" s="635">
        <f t="shared" si="229"/>
        <v>10200</v>
      </c>
      <c r="R1438" s="508"/>
      <c r="S1438" s="508"/>
      <c r="T1438" s="509"/>
    </row>
    <row r="1439" spans="1:20" ht="54.75" customHeight="1">
      <c r="A1439" s="273" t="s">
        <v>247</v>
      </c>
      <c r="B1439" s="481" t="s">
        <v>1027</v>
      </c>
      <c r="C1439" s="490" t="s">
        <v>681</v>
      </c>
      <c r="D1439" s="483">
        <v>8100</v>
      </c>
      <c r="E1439" s="484">
        <v>108288</v>
      </c>
      <c r="F1439" s="526" t="s">
        <v>172</v>
      </c>
      <c r="G1439" s="488" t="s">
        <v>725</v>
      </c>
      <c r="H1439" s="491">
        <v>1</v>
      </c>
      <c r="I1439" s="473">
        <f>INT(L1439*$Q$139)</f>
        <v>15395</v>
      </c>
      <c r="J1439" s="473">
        <f>INT(M1439*$R$139)</f>
        <v>25500</v>
      </c>
      <c r="K1439" s="473">
        <f>SUM(I1439:J1439)</f>
        <v>40895</v>
      </c>
      <c r="L1439" s="167">
        <v>15395</v>
      </c>
      <c r="M1439" s="167">
        <v>25500</v>
      </c>
      <c r="N1439" s="167">
        <f>SUM(L1439,M1439)</f>
        <v>40895</v>
      </c>
      <c r="O1439" s="640">
        <f t="shared" si="228"/>
        <v>10200</v>
      </c>
      <c r="P1439" s="405"/>
      <c r="Q1439" s="635">
        <f t="shared" si="229"/>
        <v>10200</v>
      </c>
    </row>
    <row r="1440" spans="1:20" ht="54.75" hidden="1" customHeight="1">
      <c r="A1440" s="273"/>
      <c r="B1440" s="481" t="s">
        <v>1186</v>
      </c>
      <c r="C1440" s="490" t="s">
        <v>1074</v>
      </c>
      <c r="D1440" s="483">
        <v>112</v>
      </c>
      <c r="E1440" s="484">
        <v>108288</v>
      </c>
      <c r="F1440" s="526" t="s">
        <v>172</v>
      </c>
      <c r="G1440" s="488" t="s">
        <v>1075</v>
      </c>
      <c r="H1440" s="489"/>
      <c r="I1440" s="473">
        <f>INT(L1440*$Q$139)</f>
        <v>0</v>
      </c>
      <c r="J1440" s="473">
        <f>INT(M1440*$R$139)</f>
        <v>0</v>
      </c>
      <c r="K1440" s="473">
        <f>SUM(I1440:J1440)</f>
        <v>0</v>
      </c>
      <c r="L1440" s="167"/>
      <c r="M1440" s="167"/>
      <c r="N1440" s="167">
        <f>L1440+M1440</f>
        <v>0</v>
      </c>
      <c r="O1440" s="640">
        <f t="shared" si="228"/>
        <v>0</v>
      </c>
      <c r="P1440" s="405"/>
      <c r="Q1440" s="635">
        <f t="shared" si="229"/>
        <v>0</v>
      </c>
    </row>
    <row r="1441" spans="1:20" s="510" customFormat="1" ht="72" hidden="1" customHeight="1">
      <c r="A1441" s="501"/>
      <c r="B1441" s="502"/>
      <c r="C1441" s="503" t="s">
        <v>278</v>
      </c>
      <c r="D1441" s="504"/>
      <c r="E1441" s="505"/>
      <c r="F1441" s="504"/>
      <c r="G1441" s="504"/>
      <c r="H1441" s="504"/>
      <c r="I1441" s="506">
        <f>SUM(I1442)</f>
        <v>26079</v>
      </c>
      <c r="J1441" s="506">
        <f>SUM(J1442)</f>
        <v>0</v>
      </c>
      <c r="K1441" s="506">
        <f>I1441+J1441</f>
        <v>26079</v>
      </c>
      <c r="L1441" s="507">
        <f>SUM(L1442)</f>
        <v>26079</v>
      </c>
      <c r="M1441" s="507">
        <f>SUM(M1442)</f>
        <v>0</v>
      </c>
      <c r="N1441" s="507">
        <f>L1441+M1441</f>
        <v>26079</v>
      </c>
      <c r="O1441" s="640">
        <f t="shared" si="228"/>
        <v>0</v>
      </c>
      <c r="P1441" s="508"/>
      <c r="Q1441" s="635">
        <f t="shared" si="229"/>
        <v>0</v>
      </c>
      <c r="R1441" s="508"/>
      <c r="S1441" s="508"/>
      <c r="T1441" s="509"/>
    </row>
    <row r="1442" spans="1:20" ht="54.75" hidden="1" customHeight="1">
      <c r="A1442" s="273" t="s">
        <v>336</v>
      </c>
      <c r="B1442" s="481" t="s">
        <v>1031</v>
      </c>
      <c r="C1442" s="490" t="s">
        <v>319</v>
      </c>
      <c r="D1442" s="483">
        <v>8100</v>
      </c>
      <c r="E1442" s="484">
        <v>87093</v>
      </c>
      <c r="F1442" s="526" t="s">
        <v>172</v>
      </c>
      <c r="G1442" s="488" t="s">
        <v>18</v>
      </c>
      <c r="H1442" s="491">
        <v>1</v>
      </c>
      <c r="I1442" s="473">
        <f>INT(L1442*$Q$139)</f>
        <v>26079</v>
      </c>
      <c r="J1442" s="473">
        <f>INT(M1442*$R$139)</f>
        <v>0</v>
      </c>
      <c r="K1442" s="473">
        <f>SUM(I1442:J1442)</f>
        <v>26079</v>
      </c>
      <c r="L1442" s="167">
        <v>26079</v>
      </c>
      <c r="M1442" s="167"/>
      <c r="N1442" s="167">
        <f>SUM(L1442,M1442)</f>
        <v>26079</v>
      </c>
      <c r="O1442" s="640">
        <f t="shared" si="228"/>
        <v>0</v>
      </c>
      <c r="P1442" s="405"/>
      <c r="Q1442" s="635">
        <f t="shared" si="229"/>
        <v>0</v>
      </c>
    </row>
    <row r="1443" spans="1:20" ht="41.25" hidden="1" customHeight="1">
      <c r="A1443" s="149"/>
      <c r="B1443" s="434"/>
      <c r="C1443" s="143" t="s">
        <v>274</v>
      </c>
      <c r="D1443" s="144"/>
      <c r="E1443" s="144"/>
      <c r="F1443" s="137"/>
      <c r="G1443" s="143"/>
      <c r="H1443" s="135"/>
      <c r="I1443" s="391">
        <f t="shared" ref="I1443:N1443" si="231">SUM(I1444:I1445)</f>
        <v>0</v>
      </c>
      <c r="J1443" s="391">
        <f t="shared" si="231"/>
        <v>0</v>
      </c>
      <c r="K1443" s="391">
        <f t="shared" si="231"/>
        <v>0</v>
      </c>
      <c r="L1443" s="391">
        <f t="shared" si="231"/>
        <v>0</v>
      </c>
      <c r="M1443" s="391">
        <f t="shared" si="231"/>
        <v>0</v>
      </c>
      <c r="N1443" s="391">
        <f t="shared" si="231"/>
        <v>0</v>
      </c>
      <c r="O1443" s="640">
        <f t="shared" si="228"/>
        <v>0</v>
      </c>
      <c r="Q1443" s="635">
        <f t="shared" si="229"/>
        <v>0</v>
      </c>
    </row>
    <row r="1444" spans="1:20" ht="48.75" hidden="1" customHeight="1">
      <c r="A1444" s="35" t="s">
        <v>439</v>
      </c>
      <c r="B1444" s="443" t="s">
        <v>835</v>
      </c>
      <c r="C1444" s="183" t="s">
        <v>681</v>
      </c>
      <c r="D1444" s="228">
        <v>112</v>
      </c>
      <c r="E1444" s="229" t="s">
        <v>795</v>
      </c>
      <c r="F1444" s="230" t="s">
        <v>172</v>
      </c>
      <c r="G1444" s="237" t="s">
        <v>725</v>
      </c>
      <c r="H1444" s="251">
        <v>1</v>
      </c>
      <c r="I1444" s="388">
        <f>INT(L1444*$Q$139)</f>
        <v>0</v>
      </c>
      <c r="J1444" s="388">
        <f>INT(M1444*$R$139)</f>
        <v>0</v>
      </c>
      <c r="K1444" s="388">
        <f>SUM(I1444:J1444)</f>
        <v>0</v>
      </c>
      <c r="L1444" s="167"/>
      <c r="M1444" s="193"/>
      <c r="N1444" s="167">
        <f>SUM(L1444,M1444)</f>
        <v>0</v>
      </c>
      <c r="O1444" s="640">
        <f t="shared" si="228"/>
        <v>0</v>
      </c>
      <c r="Q1444" s="635">
        <f t="shared" si="229"/>
        <v>0</v>
      </c>
    </row>
    <row r="1445" spans="1:20" ht="48.75" hidden="1" customHeight="1">
      <c r="A1445" s="35"/>
      <c r="B1445" s="443" t="s">
        <v>837</v>
      </c>
      <c r="C1445" s="241" t="s">
        <v>316</v>
      </c>
      <c r="D1445" s="228">
        <v>112</v>
      </c>
      <c r="E1445" s="229" t="s">
        <v>795</v>
      </c>
      <c r="F1445" s="230" t="s">
        <v>172</v>
      </c>
      <c r="G1445" s="242" t="s">
        <v>315</v>
      </c>
      <c r="H1445" s="271">
        <v>1</v>
      </c>
      <c r="I1445" s="388">
        <f>INT(L1445*$Q$139)</f>
        <v>0</v>
      </c>
      <c r="J1445" s="388">
        <f>INT(M1445*$R$139)</f>
        <v>0</v>
      </c>
      <c r="K1445" s="388">
        <f>SUM(I1445:J1445)</f>
        <v>0</v>
      </c>
      <c r="L1445" s="167"/>
      <c r="M1445" s="176"/>
      <c r="N1445" s="167">
        <f>SUM(L1445,M1445)</f>
        <v>0</v>
      </c>
      <c r="O1445" s="640">
        <f t="shared" si="228"/>
        <v>0</v>
      </c>
      <c r="Q1445" s="635">
        <f t="shared" si="229"/>
        <v>0</v>
      </c>
    </row>
    <row r="1446" spans="1:20" s="510" customFormat="1" ht="72" hidden="1" customHeight="1">
      <c r="A1446" s="501"/>
      <c r="B1446" s="502"/>
      <c r="C1446" s="503" t="s">
        <v>312</v>
      </c>
      <c r="D1446" s="504"/>
      <c r="E1446" s="505"/>
      <c r="F1446" s="504"/>
      <c r="G1446" s="504"/>
      <c r="H1446" s="504"/>
      <c r="I1446" s="506">
        <f>SUM(I1447:I1448)</f>
        <v>15000</v>
      </c>
      <c r="J1446" s="506">
        <f>SUM(J1447:J1448)</f>
        <v>15226</v>
      </c>
      <c r="K1446" s="506">
        <f>I1446+J1446</f>
        <v>30226</v>
      </c>
      <c r="L1446" s="507">
        <f>SUM(L1447:L1448)</f>
        <v>15000</v>
      </c>
      <c r="M1446" s="507">
        <f>SUM(M1447:M1448)</f>
        <v>15226</v>
      </c>
      <c r="N1446" s="507">
        <f>L1446+M1446</f>
        <v>30226</v>
      </c>
      <c r="O1446" s="640">
        <f t="shared" si="228"/>
        <v>6090.4</v>
      </c>
      <c r="P1446" s="508"/>
      <c r="Q1446" s="635">
        <f t="shared" si="229"/>
        <v>6090.4</v>
      </c>
      <c r="R1446" s="508"/>
      <c r="S1446" s="508"/>
      <c r="T1446" s="509"/>
    </row>
    <row r="1447" spans="1:20" ht="54.75" customHeight="1">
      <c r="A1447" s="273" t="s">
        <v>439</v>
      </c>
      <c r="B1447" s="481" t="s">
        <v>1030</v>
      </c>
      <c r="C1447" s="490" t="s">
        <v>316</v>
      </c>
      <c r="D1447" s="483">
        <v>8100</v>
      </c>
      <c r="E1447" s="484">
        <v>108288</v>
      </c>
      <c r="F1447" s="526" t="s">
        <v>172</v>
      </c>
      <c r="G1447" s="488" t="s">
        <v>315</v>
      </c>
      <c r="H1447" s="491">
        <v>1</v>
      </c>
      <c r="I1447" s="473">
        <f>INT(L1447*$Q$139)</f>
        <v>15000</v>
      </c>
      <c r="J1447" s="473">
        <f>INT(M1447*$R$139)</f>
        <v>15226</v>
      </c>
      <c r="K1447" s="473">
        <f>SUM(I1447:J1447)</f>
        <v>30226</v>
      </c>
      <c r="L1447" s="167">
        <v>15000</v>
      </c>
      <c r="M1447" s="167">
        <v>15226</v>
      </c>
      <c r="N1447" s="167">
        <f>SUM(L1447,M1447)</f>
        <v>30226</v>
      </c>
      <c r="O1447" s="640">
        <f t="shared" si="228"/>
        <v>6090.4</v>
      </c>
      <c r="P1447" s="405"/>
      <c r="Q1447" s="635">
        <f t="shared" si="229"/>
        <v>6090.4</v>
      </c>
    </row>
    <row r="1448" spans="1:20" ht="54.75" hidden="1" customHeight="1">
      <c r="A1448" s="273"/>
      <c r="B1448" s="481" t="s">
        <v>1188</v>
      </c>
      <c r="C1448" s="490" t="s">
        <v>1187</v>
      </c>
      <c r="D1448" s="483">
        <v>112</v>
      </c>
      <c r="E1448" s="484">
        <v>108288</v>
      </c>
      <c r="F1448" s="526" t="s">
        <v>172</v>
      </c>
      <c r="G1448" s="488" t="s">
        <v>1075</v>
      </c>
      <c r="H1448" s="489"/>
      <c r="I1448" s="473">
        <f>INT(L1448*$Q$139)</f>
        <v>0</v>
      </c>
      <c r="J1448" s="473">
        <f>INT(M1448*$R$139)</f>
        <v>0</v>
      </c>
      <c r="K1448" s="473">
        <f>SUM(I1448:J1448)</f>
        <v>0</v>
      </c>
      <c r="L1448" s="167"/>
      <c r="M1448" s="167"/>
      <c r="N1448" s="167">
        <f>L1448+M1448</f>
        <v>0</v>
      </c>
      <c r="O1448" s="640">
        <f t="shared" ref="O1448:O1511" si="232">(J1448/100)*40</f>
        <v>0</v>
      </c>
      <c r="P1448" s="405"/>
      <c r="Q1448" s="635">
        <f t="shared" ref="Q1448:Q1511" si="233">($Q$932*J1448)/100</f>
        <v>0</v>
      </c>
    </row>
    <row r="1449" spans="1:20" ht="69" hidden="1" customHeight="1">
      <c r="A1449" s="609"/>
      <c r="B1449" s="1287" t="s">
        <v>1276</v>
      </c>
      <c r="C1449" s="1287"/>
      <c r="D1449" s="1287"/>
      <c r="E1449" s="1287"/>
      <c r="F1449" s="1287"/>
      <c r="G1449" s="1287"/>
      <c r="H1449" s="1287"/>
      <c r="I1449" s="1287"/>
      <c r="J1449" s="1287"/>
      <c r="K1449" s="1287"/>
      <c r="L1449" s="609"/>
      <c r="M1449" s="609"/>
      <c r="N1449" s="609"/>
      <c r="O1449" s="640">
        <f t="shared" si="232"/>
        <v>0</v>
      </c>
      <c r="Q1449" s="635">
        <f t="shared" si="233"/>
        <v>0</v>
      </c>
    </row>
    <row r="1450" spans="1:20" ht="21.95" hidden="1" customHeight="1" thickBot="1">
      <c r="A1450" s="609"/>
      <c r="B1450" s="609"/>
      <c r="C1450" s="609"/>
      <c r="D1450" s="609"/>
      <c r="E1450" s="609"/>
      <c r="F1450" s="609"/>
      <c r="G1450" s="117"/>
      <c r="H1450" s="117"/>
      <c r="I1450" s="117"/>
      <c r="J1450" s="117"/>
      <c r="K1450" s="117"/>
      <c r="L1450" s="609"/>
      <c r="M1450" s="609"/>
      <c r="N1450" s="609"/>
      <c r="O1450" s="640">
        <f t="shared" si="232"/>
        <v>0</v>
      </c>
      <c r="P1450" s="27"/>
      <c r="Q1450" s="635">
        <f t="shared" si="233"/>
        <v>0</v>
      </c>
      <c r="R1450" s="27"/>
      <c r="S1450" s="27"/>
      <c r="T1450" s="27"/>
    </row>
    <row r="1451" spans="1:20" ht="29.25" hidden="1" customHeight="1">
      <c r="C1451" s="1204" t="s">
        <v>51</v>
      </c>
      <c r="D1451" s="1204"/>
      <c r="E1451" s="1204"/>
      <c r="F1451" s="1204"/>
      <c r="H1451" s="1243" t="s">
        <v>11</v>
      </c>
      <c r="I1451" s="1244"/>
      <c r="J1451" s="1244"/>
      <c r="K1451" s="1245"/>
      <c r="L1451" s="337"/>
      <c r="M1451" s="337"/>
      <c r="N1451" s="337"/>
      <c r="O1451" s="640">
        <f t="shared" si="232"/>
        <v>0</v>
      </c>
      <c r="P1451" s="27"/>
      <c r="Q1451" s="635">
        <f t="shared" si="233"/>
        <v>0</v>
      </c>
      <c r="R1451" s="27"/>
      <c r="S1451" s="27"/>
      <c r="T1451" s="27"/>
    </row>
    <row r="1452" spans="1:20" ht="18" hidden="1" customHeight="1">
      <c r="C1452" s="1204" t="s">
        <v>52</v>
      </c>
      <c r="D1452" s="1204"/>
      <c r="E1452" s="1204"/>
      <c r="F1452" s="1204"/>
      <c r="H1452" s="1208" t="s">
        <v>21</v>
      </c>
      <c r="I1452" s="1209"/>
      <c r="J1452" s="1209"/>
      <c r="K1452" s="1210"/>
      <c r="L1452" s="336"/>
      <c r="M1452" s="336"/>
      <c r="N1452" s="336"/>
      <c r="O1452" s="640">
        <f t="shared" si="232"/>
        <v>0</v>
      </c>
      <c r="P1452" s="27"/>
      <c r="Q1452" s="635">
        <f t="shared" si="233"/>
        <v>0</v>
      </c>
      <c r="R1452" s="27"/>
      <c r="S1452" s="27"/>
      <c r="T1452" s="27"/>
    </row>
    <row r="1453" spans="1:20" ht="34.5" hidden="1" customHeight="1">
      <c r="C1453" s="1204" t="s">
        <v>50</v>
      </c>
      <c r="D1453" s="1204"/>
      <c r="E1453" s="1204"/>
      <c r="F1453" s="1204"/>
      <c r="H1453" s="1211"/>
      <c r="I1453" s="1212"/>
      <c r="J1453" s="1212"/>
      <c r="K1453" s="1213"/>
      <c r="L1453" s="336"/>
      <c r="M1453" s="336"/>
      <c r="N1453" s="336"/>
      <c r="O1453" s="640">
        <f t="shared" si="232"/>
        <v>0</v>
      </c>
      <c r="P1453" s="27"/>
      <c r="Q1453" s="635">
        <f t="shared" si="233"/>
        <v>0</v>
      </c>
      <c r="R1453" s="27"/>
      <c r="S1453" s="27"/>
      <c r="T1453" s="27"/>
    </row>
    <row r="1454" spans="1:20" ht="39.75" hidden="1" customHeight="1">
      <c r="C1454" s="1252"/>
      <c r="D1454" s="1252"/>
      <c r="E1454" s="1252"/>
      <c r="F1454" s="1252"/>
      <c r="G1454" s="44"/>
      <c r="H1454" s="1211" t="s">
        <v>22</v>
      </c>
      <c r="I1454" s="1212"/>
      <c r="J1454" s="1212"/>
      <c r="K1454" s="477">
        <f>K1488</f>
        <v>14317270</v>
      </c>
      <c r="L1454" s="336"/>
      <c r="M1454" s="336"/>
      <c r="N1454" s="86"/>
      <c r="O1454" s="640">
        <f t="shared" si="232"/>
        <v>0</v>
      </c>
      <c r="P1454" s="27"/>
      <c r="Q1454" s="635">
        <f t="shared" si="233"/>
        <v>0</v>
      </c>
      <c r="R1454" s="27"/>
      <c r="S1454" s="27"/>
      <c r="T1454" s="27"/>
    </row>
    <row r="1455" spans="1:20" ht="37.5" hidden="1" customHeight="1" thickBot="1">
      <c r="A1455" s="75"/>
      <c r="B1455" s="75"/>
      <c r="C1455" s="65"/>
      <c r="D1455" s="65"/>
      <c r="E1455" s="65"/>
      <c r="F1455" s="431"/>
      <c r="G1455" s="10"/>
      <c r="H1455" s="1283" t="s">
        <v>13</v>
      </c>
      <c r="I1455" s="1284"/>
      <c r="J1455" s="1284"/>
      <c r="K1455" s="1285"/>
      <c r="L1455" s="336"/>
      <c r="M1455" s="336"/>
      <c r="N1455" s="336"/>
      <c r="O1455" s="640">
        <f t="shared" si="232"/>
        <v>0</v>
      </c>
      <c r="P1455" s="27"/>
      <c r="Q1455" s="635">
        <f t="shared" si="233"/>
        <v>0</v>
      </c>
      <c r="R1455" s="27"/>
      <c r="S1455" s="27"/>
      <c r="T1455" s="27"/>
    </row>
    <row r="1456" spans="1:20" ht="30" hidden="1" customHeight="1">
      <c r="A1456" s="609"/>
      <c r="B1456" s="609"/>
      <c r="C1456" s="609"/>
      <c r="D1456" s="609"/>
      <c r="E1456" s="609"/>
      <c r="F1456" s="609"/>
      <c r="G1456" s="117"/>
      <c r="H1456" s="117"/>
      <c r="I1456" s="117"/>
      <c r="J1456" s="117"/>
      <c r="K1456" s="117"/>
      <c r="L1456" s="609"/>
      <c r="M1456" s="609"/>
      <c r="N1456" s="609"/>
      <c r="O1456" s="640">
        <f t="shared" si="232"/>
        <v>0</v>
      </c>
      <c r="P1456" s="27"/>
      <c r="Q1456" s="635">
        <f t="shared" si="233"/>
        <v>0</v>
      </c>
      <c r="R1456" s="27"/>
      <c r="S1456" s="27"/>
      <c r="T1456" s="27"/>
    </row>
    <row r="1457" spans="1:20" ht="39.950000000000003" hidden="1" customHeight="1">
      <c r="A1457" s="346"/>
      <c r="B1457" s="1226" t="s">
        <v>1037</v>
      </c>
      <c r="C1457" s="1226"/>
      <c r="D1457" s="1226"/>
      <c r="E1457" s="1226"/>
      <c r="F1457" s="1226"/>
      <c r="G1457" s="1226"/>
      <c r="H1457" s="1226"/>
      <c r="I1457" s="1226"/>
      <c r="J1457" s="1226"/>
      <c r="K1457" s="1226"/>
      <c r="L1457" s="346"/>
      <c r="M1457" s="346"/>
      <c r="N1457" s="346"/>
      <c r="O1457" s="640">
        <f t="shared" si="232"/>
        <v>0</v>
      </c>
      <c r="P1457" s="27"/>
      <c r="Q1457" s="635">
        <f t="shared" si="233"/>
        <v>0</v>
      </c>
      <c r="R1457" s="27"/>
      <c r="S1457" s="27"/>
      <c r="T1457" s="27"/>
    </row>
    <row r="1458" spans="1:20" ht="20.100000000000001" hidden="1" customHeight="1">
      <c r="A1458" s="46"/>
      <c r="B1458" s="46"/>
      <c r="C1458" s="46"/>
      <c r="D1458" s="46"/>
      <c r="E1458" s="46"/>
      <c r="F1458" s="46"/>
      <c r="G1458" s="46"/>
      <c r="H1458" s="46"/>
      <c r="I1458" s="46"/>
      <c r="J1458" s="46"/>
      <c r="K1458" s="46"/>
      <c r="L1458" s="46"/>
      <c r="M1458" s="46"/>
      <c r="N1458" s="46"/>
      <c r="O1458" s="640">
        <f t="shared" si="232"/>
        <v>0</v>
      </c>
      <c r="P1458" s="27"/>
      <c r="Q1458" s="635">
        <f t="shared" si="233"/>
        <v>0</v>
      </c>
      <c r="R1458" s="27"/>
      <c r="S1458" s="27"/>
      <c r="T1458" s="27"/>
    </row>
    <row r="1459" spans="1:20" s="500" customFormat="1" ht="90" hidden="1">
      <c r="A1459" s="496" t="s">
        <v>14</v>
      </c>
      <c r="B1459" s="497" t="s">
        <v>14</v>
      </c>
      <c r="C1459" s="497" t="s">
        <v>37</v>
      </c>
      <c r="D1459" s="497" t="s">
        <v>440</v>
      </c>
      <c r="E1459" s="497" t="s">
        <v>16</v>
      </c>
      <c r="F1459" s="497" t="s">
        <v>185</v>
      </c>
      <c r="G1459" s="497" t="s">
        <v>178</v>
      </c>
      <c r="H1459" s="497" t="s">
        <v>179</v>
      </c>
      <c r="I1459" s="497" t="s">
        <v>180</v>
      </c>
      <c r="J1459" s="497" t="s">
        <v>1275</v>
      </c>
      <c r="K1459" s="497" t="s">
        <v>200</v>
      </c>
      <c r="L1459" s="496" t="s">
        <v>180</v>
      </c>
      <c r="M1459" s="496" t="s">
        <v>181</v>
      </c>
      <c r="N1459" s="496" t="s">
        <v>200</v>
      </c>
      <c r="O1459" s="640" t="e">
        <f t="shared" si="232"/>
        <v>#VALUE!</v>
      </c>
      <c r="P1459" s="498"/>
      <c r="Q1459" s="635" t="e">
        <f t="shared" si="233"/>
        <v>#VALUE!</v>
      </c>
      <c r="R1459" s="498"/>
      <c r="S1459" s="498"/>
      <c r="T1459" s="499"/>
    </row>
    <row r="1460" spans="1:20" s="579" customFormat="1" ht="46.5" customHeight="1">
      <c r="A1460" s="572"/>
      <c r="B1460" s="572"/>
      <c r="C1460" s="573" t="s">
        <v>163</v>
      </c>
      <c r="D1460" s="574"/>
      <c r="E1460" s="574"/>
      <c r="F1460" s="575" t="s">
        <v>125</v>
      </c>
      <c r="G1460" s="576"/>
      <c r="H1460" s="576"/>
      <c r="I1460" s="577">
        <f>SUM(I1461,I1468,I1470,I1473,I1475,I1479)</f>
        <v>757827</v>
      </c>
      <c r="J1460" s="577">
        <f>SUM(J1461,J1468,J1470,J1473,J1475,J1479)</f>
        <v>137500</v>
      </c>
      <c r="K1460" s="577">
        <f>I1460+J1460</f>
        <v>895327</v>
      </c>
      <c r="L1460" s="578">
        <f>SUM(L1461,L1468,L1470,L1473,L1475,L1479)</f>
        <v>757827</v>
      </c>
      <c r="M1460" s="578">
        <f>SUM(M1461,M1468,M1470,M1473,M1475,M1479)</f>
        <v>137500</v>
      </c>
      <c r="N1460" s="578">
        <f>L1460+M1460</f>
        <v>895327</v>
      </c>
      <c r="O1460" s="644">
        <f t="shared" si="232"/>
        <v>55000</v>
      </c>
      <c r="Q1460" s="635">
        <f t="shared" si="233"/>
        <v>55000</v>
      </c>
    </row>
    <row r="1461" spans="1:20" s="510" customFormat="1" ht="72" hidden="1" customHeight="1">
      <c r="A1461" s="501"/>
      <c r="B1461" s="502"/>
      <c r="C1461" s="503" t="s">
        <v>292</v>
      </c>
      <c r="D1461" s="504"/>
      <c r="E1461" s="505"/>
      <c r="F1461" s="504"/>
      <c r="G1461" s="504"/>
      <c r="H1461" s="504"/>
      <c r="I1461" s="506">
        <f>SUM(I1462:I1467)</f>
        <v>320889</v>
      </c>
      <c r="J1461" s="506"/>
      <c r="K1461" s="506">
        <f>SUM(K1462:K1467)</f>
        <v>320889</v>
      </c>
      <c r="L1461" s="507">
        <f>SUM(L1462:L1467)</f>
        <v>320889</v>
      </c>
      <c r="M1461" s="507"/>
      <c r="N1461" s="507">
        <f>SUM(N1462:N1467)</f>
        <v>320889</v>
      </c>
      <c r="O1461" s="640">
        <f t="shared" si="232"/>
        <v>0</v>
      </c>
      <c r="P1461" s="508"/>
      <c r="Q1461" s="635">
        <f t="shared" si="233"/>
        <v>0</v>
      </c>
      <c r="R1461" s="508"/>
      <c r="S1461" s="508"/>
      <c r="T1461" s="509"/>
    </row>
    <row r="1462" spans="1:20" ht="54.75" hidden="1" customHeight="1">
      <c r="A1462" s="273" t="s">
        <v>249</v>
      </c>
      <c r="B1462" s="481" t="s">
        <v>1172</v>
      </c>
      <c r="C1462" s="490" t="s">
        <v>374</v>
      </c>
      <c r="D1462" s="483">
        <v>8100</v>
      </c>
      <c r="E1462" s="484">
        <v>108288</v>
      </c>
      <c r="F1462" s="526" t="s">
        <v>173</v>
      </c>
      <c r="G1462" s="488" t="s">
        <v>329</v>
      </c>
      <c r="H1462" s="491">
        <v>1</v>
      </c>
      <c r="I1462" s="473">
        <f t="shared" ref="I1462:I1467" si="234">INT(L1462*$Q$139)</f>
        <v>24368</v>
      </c>
      <c r="J1462" s="473">
        <f t="shared" ref="J1462:J1467" si="235">INT(M1462*$R$139)</f>
        <v>0</v>
      </c>
      <c r="K1462" s="473">
        <f t="shared" ref="K1462:K1467" si="236">SUM(I1462:J1462)</f>
        <v>24368</v>
      </c>
      <c r="L1462" s="167">
        <v>24368</v>
      </c>
      <c r="M1462" s="167"/>
      <c r="N1462" s="167">
        <f t="shared" ref="N1462:N1469" si="237">SUM(L1462,M1462)</f>
        <v>24368</v>
      </c>
      <c r="O1462" s="640">
        <f t="shared" si="232"/>
        <v>0</v>
      </c>
      <c r="P1462" s="405"/>
      <c r="Q1462" s="635">
        <f t="shared" si="233"/>
        <v>0</v>
      </c>
    </row>
    <row r="1463" spans="1:20" ht="54.75" hidden="1" customHeight="1">
      <c r="A1463" s="273" t="s">
        <v>433</v>
      </c>
      <c r="B1463" s="481" t="s">
        <v>1201</v>
      </c>
      <c r="C1463" s="490" t="s">
        <v>375</v>
      </c>
      <c r="D1463" s="483">
        <v>8100</v>
      </c>
      <c r="E1463" s="484">
        <v>108288</v>
      </c>
      <c r="F1463" s="526" t="s">
        <v>173</v>
      </c>
      <c r="G1463" s="488" t="s">
        <v>329</v>
      </c>
      <c r="H1463" s="491">
        <v>1</v>
      </c>
      <c r="I1463" s="473">
        <f t="shared" si="234"/>
        <v>54180</v>
      </c>
      <c r="J1463" s="473">
        <f t="shared" si="235"/>
        <v>0</v>
      </c>
      <c r="K1463" s="473">
        <f t="shared" si="236"/>
        <v>54180</v>
      </c>
      <c r="L1463" s="167">
        <v>54180</v>
      </c>
      <c r="M1463" s="167"/>
      <c r="N1463" s="167">
        <f t="shared" si="237"/>
        <v>54180</v>
      </c>
      <c r="O1463" s="640">
        <f t="shared" si="232"/>
        <v>0</v>
      </c>
      <c r="P1463" s="405"/>
      <c r="Q1463" s="635">
        <f t="shared" si="233"/>
        <v>0</v>
      </c>
    </row>
    <row r="1464" spans="1:20" ht="54.75" hidden="1" customHeight="1">
      <c r="A1464" s="273" t="s">
        <v>434</v>
      </c>
      <c r="B1464" s="481" t="s">
        <v>1202</v>
      </c>
      <c r="C1464" s="490" t="s">
        <v>376</v>
      </c>
      <c r="D1464" s="483">
        <v>8100</v>
      </c>
      <c r="E1464" s="484">
        <v>108288</v>
      </c>
      <c r="F1464" s="526" t="s">
        <v>173</v>
      </c>
      <c r="G1464" s="488" t="s">
        <v>329</v>
      </c>
      <c r="H1464" s="491">
        <v>1</v>
      </c>
      <c r="I1464" s="473">
        <f t="shared" si="234"/>
        <v>11408</v>
      </c>
      <c r="J1464" s="473">
        <f t="shared" si="235"/>
        <v>0</v>
      </c>
      <c r="K1464" s="473">
        <f t="shared" si="236"/>
        <v>11408</v>
      </c>
      <c r="L1464" s="167">
        <v>11408</v>
      </c>
      <c r="M1464" s="167"/>
      <c r="N1464" s="167">
        <f t="shared" si="237"/>
        <v>11408</v>
      </c>
      <c r="O1464" s="640">
        <f t="shared" si="232"/>
        <v>0</v>
      </c>
      <c r="P1464" s="405"/>
      <c r="Q1464" s="635">
        <f t="shared" si="233"/>
        <v>0</v>
      </c>
    </row>
    <row r="1465" spans="1:20" ht="54.75" hidden="1" customHeight="1">
      <c r="A1465" s="273" t="s">
        <v>435</v>
      </c>
      <c r="B1465" s="481" t="s">
        <v>1203</v>
      </c>
      <c r="C1465" s="490" t="s">
        <v>377</v>
      </c>
      <c r="D1465" s="483">
        <v>8100</v>
      </c>
      <c r="E1465" s="484">
        <v>108288</v>
      </c>
      <c r="F1465" s="526" t="s">
        <v>173</v>
      </c>
      <c r="G1465" s="488" t="s">
        <v>329</v>
      </c>
      <c r="H1465" s="491">
        <v>1</v>
      </c>
      <c r="I1465" s="473">
        <f t="shared" si="234"/>
        <v>53828</v>
      </c>
      <c r="J1465" s="473">
        <f t="shared" si="235"/>
        <v>0</v>
      </c>
      <c r="K1465" s="473">
        <f t="shared" si="236"/>
        <v>53828</v>
      </c>
      <c r="L1465" s="167">
        <v>53828</v>
      </c>
      <c r="M1465" s="167"/>
      <c r="N1465" s="167">
        <f t="shared" si="237"/>
        <v>53828</v>
      </c>
      <c r="O1465" s="640">
        <f t="shared" si="232"/>
        <v>0</v>
      </c>
      <c r="P1465" s="405"/>
      <c r="Q1465" s="635">
        <f t="shared" si="233"/>
        <v>0</v>
      </c>
    </row>
    <row r="1466" spans="1:20" ht="54.75" hidden="1" customHeight="1">
      <c r="A1466" s="273" t="s">
        <v>455</v>
      </c>
      <c r="B1466" s="481" t="s">
        <v>1204</v>
      </c>
      <c r="C1466" s="490" t="s">
        <v>267</v>
      </c>
      <c r="D1466" s="483">
        <v>8100</v>
      </c>
      <c r="E1466" s="484">
        <v>108288</v>
      </c>
      <c r="F1466" s="526" t="s">
        <v>173</v>
      </c>
      <c r="G1466" s="488" t="s">
        <v>329</v>
      </c>
      <c r="H1466" s="491">
        <v>1</v>
      </c>
      <c r="I1466" s="473">
        <f t="shared" si="234"/>
        <v>85925</v>
      </c>
      <c r="J1466" s="473">
        <f t="shared" si="235"/>
        <v>0</v>
      </c>
      <c r="K1466" s="473">
        <f t="shared" si="236"/>
        <v>85925</v>
      </c>
      <c r="L1466" s="167">
        <v>85925</v>
      </c>
      <c r="M1466" s="167"/>
      <c r="N1466" s="167">
        <f t="shared" si="237"/>
        <v>85925</v>
      </c>
      <c r="O1466" s="640">
        <f t="shared" si="232"/>
        <v>0</v>
      </c>
      <c r="P1466" s="405"/>
      <c r="Q1466" s="635">
        <f t="shared" si="233"/>
        <v>0</v>
      </c>
    </row>
    <row r="1467" spans="1:20" ht="54.75" hidden="1" customHeight="1">
      <c r="A1467" s="273" t="s">
        <v>502</v>
      </c>
      <c r="B1467" s="481" t="s">
        <v>1205</v>
      </c>
      <c r="C1467" s="490" t="s">
        <v>1227</v>
      </c>
      <c r="D1467" s="483">
        <v>8100</v>
      </c>
      <c r="E1467" s="484">
        <v>108288</v>
      </c>
      <c r="F1467" s="526" t="s">
        <v>173</v>
      </c>
      <c r="G1467" s="488" t="s">
        <v>329</v>
      </c>
      <c r="H1467" s="491">
        <v>1</v>
      </c>
      <c r="I1467" s="473">
        <f t="shared" si="234"/>
        <v>91180</v>
      </c>
      <c r="J1467" s="473">
        <f t="shared" si="235"/>
        <v>0</v>
      </c>
      <c r="K1467" s="473">
        <f t="shared" si="236"/>
        <v>91180</v>
      </c>
      <c r="L1467" s="167">
        <v>91180</v>
      </c>
      <c r="M1467" s="167"/>
      <c r="N1467" s="167">
        <f t="shared" si="237"/>
        <v>91180</v>
      </c>
      <c r="O1467" s="640">
        <f t="shared" si="232"/>
        <v>0</v>
      </c>
      <c r="P1467" s="405"/>
      <c r="Q1467" s="635">
        <f t="shared" si="233"/>
        <v>0</v>
      </c>
    </row>
    <row r="1468" spans="1:20" s="510" customFormat="1" ht="72" hidden="1" customHeight="1">
      <c r="A1468" s="501"/>
      <c r="B1468" s="502"/>
      <c r="C1468" s="503" t="s">
        <v>141</v>
      </c>
      <c r="D1468" s="504"/>
      <c r="E1468" s="505"/>
      <c r="F1468" s="504"/>
      <c r="G1468" s="504"/>
      <c r="H1468" s="504"/>
      <c r="I1468" s="506">
        <f>SUM(I1469)</f>
        <v>329091</v>
      </c>
      <c r="J1468" s="506"/>
      <c r="K1468" s="506">
        <f>SUM(I1468,J1468)</f>
        <v>329091</v>
      </c>
      <c r="L1468" s="507">
        <f>SUM(L1469)</f>
        <v>329091</v>
      </c>
      <c r="M1468" s="507"/>
      <c r="N1468" s="507">
        <f t="shared" si="237"/>
        <v>329091</v>
      </c>
      <c r="O1468" s="640">
        <f t="shared" si="232"/>
        <v>0</v>
      </c>
      <c r="P1468" s="508"/>
      <c r="Q1468" s="635">
        <f t="shared" si="233"/>
        <v>0</v>
      </c>
      <c r="R1468" s="508"/>
      <c r="S1468" s="508"/>
      <c r="T1468" s="509"/>
    </row>
    <row r="1469" spans="1:20" ht="54.75" hidden="1" customHeight="1">
      <c r="A1469" s="273" t="s">
        <v>248</v>
      </c>
      <c r="B1469" s="481" t="s">
        <v>1173</v>
      </c>
      <c r="C1469" s="490" t="s">
        <v>317</v>
      </c>
      <c r="D1469" s="483">
        <v>8100</v>
      </c>
      <c r="E1469" s="484">
        <v>108288</v>
      </c>
      <c r="F1469" s="526" t="s">
        <v>173</v>
      </c>
      <c r="G1469" s="488" t="s">
        <v>143</v>
      </c>
      <c r="H1469" s="489">
        <v>1321</v>
      </c>
      <c r="I1469" s="473">
        <f>INT(L1469*$Q$139)</f>
        <v>329091</v>
      </c>
      <c r="J1469" s="473">
        <f>INT(M1469*$R$139)</f>
        <v>0</v>
      </c>
      <c r="K1469" s="473">
        <f>SUM(I1469:J1469)</f>
        <v>329091</v>
      </c>
      <c r="L1469" s="167">
        <v>329091</v>
      </c>
      <c r="M1469" s="167"/>
      <c r="N1469" s="167">
        <f t="shared" si="237"/>
        <v>329091</v>
      </c>
      <c r="O1469" s="640">
        <f t="shared" si="232"/>
        <v>0</v>
      </c>
      <c r="P1469" s="405"/>
      <c r="Q1469" s="635">
        <f t="shared" si="233"/>
        <v>0</v>
      </c>
    </row>
    <row r="1470" spans="1:20" s="510" customFormat="1" ht="72" hidden="1" customHeight="1">
      <c r="A1470" s="501"/>
      <c r="B1470" s="502"/>
      <c r="C1470" s="503" t="s">
        <v>310</v>
      </c>
      <c r="D1470" s="504"/>
      <c r="E1470" s="505"/>
      <c r="F1470" s="504"/>
      <c r="G1470" s="504"/>
      <c r="H1470" s="504"/>
      <c r="I1470" s="506">
        <f>SUM(I1471:I1472)</f>
        <v>50000</v>
      </c>
      <c r="J1470" s="506">
        <f>SUM(J1471:J1472)</f>
        <v>125000</v>
      </c>
      <c r="K1470" s="506">
        <f>SUM(K1471:K1471)</f>
        <v>175000</v>
      </c>
      <c r="L1470" s="507">
        <f>SUM(L1471:L1472)</f>
        <v>50000</v>
      </c>
      <c r="M1470" s="507">
        <f>SUM(M1471:M1472)</f>
        <v>125000</v>
      </c>
      <c r="N1470" s="507">
        <f>SUM(N1471:N1471)</f>
        <v>175000</v>
      </c>
      <c r="O1470" s="640">
        <f t="shared" si="232"/>
        <v>50000</v>
      </c>
      <c r="P1470" s="508"/>
      <c r="Q1470" s="635">
        <f t="shared" si="233"/>
        <v>50000</v>
      </c>
      <c r="R1470" s="508"/>
      <c r="S1470" s="508"/>
      <c r="T1470" s="509"/>
    </row>
    <row r="1471" spans="1:20" ht="54.75" customHeight="1">
      <c r="A1471" s="273" t="s">
        <v>247</v>
      </c>
      <c r="B1471" s="481" t="s">
        <v>1027</v>
      </c>
      <c r="C1471" s="490" t="s">
        <v>681</v>
      </c>
      <c r="D1471" s="483">
        <v>8100</v>
      </c>
      <c r="E1471" s="484">
        <v>108288</v>
      </c>
      <c r="F1471" s="526" t="s">
        <v>173</v>
      </c>
      <c r="G1471" s="488" t="s">
        <v>725</v>
      </c>
      <c r="H1471" s="489">
        <v>1</v>
      </c>
      <c r="I1471" s="473">
        <f>INT(L1471*$Q$139)</f>
        <v>50000</v>
      </c>
      <c r="J1471" s="473">
        <f>INT(M1471*$R$139)</f>
        <v>125000</v>
      </c>
      <c r="K1471" s="473">
        <f>SUM(I1471:J1471)</f>
        <v>175000</v>
      </c>
      <c r="L1471" s="167">
        <v>50000</v>
      </c>
      <c r="M1471" s="167">
        <v>125000</v>
      </c>
      <c r="N1471" s="167">
        <f>SUM(L1471,M1471)</f>
        <v>175000</v>
      </c>
      <c r="O1471" s="640">
        <f t="shared" si="232"/>
        <v>50000</v>
      </c>
      <c r="P1471" s="405"/>
      <c r="Q1471" s="635">
        <f t="shared" si="233"/>
        <v>50000</v>
      </c>
    </row>
    <row r="1472" spans="1:20" ht="54.75" hidden="1" customHeight="1">
      <c r="A1472" s="273"/>
      <c r="B1472" s="481" t="s">
        <v>1186</v>
      </c>
      <c r="C1472" s="490" t="s">
        <v>1074</v>
      </c>
      <c r="D1472" s="483">
        <v>112</v>
      </c>
      <c r="E1472" s="484">
        <v>108288</v>
      </c>
      <c r="F1472" s="526" t="s">
        <v>173</v>
      </c>
      <c r="G1472" s="488" t="s">
        <v>1075</v>
      </c>
      <c r="H1472" s="489"/>
      <c r="I1472" s="473">
        <f>INT(L1472*$Q$139)</f>
        <v>0</v>
      </c>
      <c r="J1472" s="473">
        <f>INT(M1472*$R$139)</f>
        <v>0</v>
      </c>
      <c r="K1472" s="473">
        <f>SUM(I1472:J1472)</f>
        <v>0</v>
      </c>
      <c r="L1472" s="167"/>
      <c r="M1472" s="167"/>
      <c r="N1472" s="167">
        <f>L1472+M1472</f>
        <v>0</v>
      </c>
      <c r="O1472" s="640">
        <f t="shared" si="232"/>
        <v>0</v>
      </c>
      <c r="P1472" s="405"/>
      <c r="Q1472" s="635">
        <f t="shared" si="233"/>
        <v>0</v>
      </c>
    </row>
    <row r="1473" spans="1:20" s="510" customFormat="1" ht="72" hidden="1" customHeight="1">
      <c r="A1473" s="501"/>
      <c r="B1473" s="502"/>
      <c r="C1473" s="503" t="s">
        <v>278</v>
      </c>
      <c r="D1473" s="504"/>
      <c r="E1473" s="505"/>
      <c r="F1473" s="504"/>
      <c r="G1473" s="504"/>
      <c r="H1473" s="504"/>
      <c r="I1473" s="506">
        <f>SUM(I1474)</f>
        <v>21000</v>
      </c>
      <c r="J1473" s="506"/>
      <c r="K1473" s="506">
        <f>SUM(K1474)</f>
        <v>21000</v>
      </c>
      <c r="L1473" s="507">
        <f>SUM(L1474)</f>
        <v>21000</v>
      </c>
      <c r="M1473" s="507"/>
      <c r="N1473" s="507">
        <f>SUM(N1474)</f>
        <v>21000</v>
      </c>
      <c r="O1473" s="640">
        <f t="shared" si="232"/>
        <v>0</v>
      </c>
      <c r="P1473" s="508"/>
      <c r="Q1473" s="635">
        <f t="shared" si="233"/>
        <v>0</v>
      </c>
      <c r="R1473" s="508"/>
      <c r="S1473" s="508"/>
      <c r="T1473" s="509"/>
    </row>
    <row r="1474" spans="1:20" ht="54.75" hidden="1" customHeight="1">
      <c r="A1474" s="273" t="s">
        <v>336</v>
      </c>
      <c r="B1474" s="481" t="s">
        <v>1031</v>
      </c>
      <c r="C1474" s="490" t="s">
        <v>319</v>
      </c>
      <c r="D1474" s="483">
        <v>8100</v>
      </c>
      <c r="E1474" s="484" t="s">
        <v>686</v>
      </c>
      <c r="F1474" s="526" t="s">
        <v>173</v>
      </c>
      <c r="G1474" s="488" t="s">
        <v>18</v>
      </c>
      <c r="H1474" s="491">
        <v>1</v>
      </c>
      <c r="I1474" s="473">
        <f>INT(L1474*$Q$139)</f>
        <v>21000</v>
      </c>
      <c r="J1474" s="473">
        <f>INT(M1474*$R$139)</f>
        <v>0</v>
      </c>
      <c r="K1474" s="473">
        <f>SUM(I1474:J1474)</f>
        <v>21000</v>
      </c>
      <c r="L1474" s="167">
        <v>21000</v>
      </c>
      <c r="M1474" s="167"/>
      <c r="N1474" s="167">
        <f>SUM(L1474,M1474)</f>
        <v>21000</v>
      </c>
      <c r="O1474" s="640">
        <f t="shared" si="232"/>
        <v>0</v>
      </c>
      <c r="P1474" s="405"/>
      <c r="Q1474" s="635">
        <f t="shared" si="233"/>
        <v>0</v>
      </c>
    </row>
    <row r="1475" spans="1:20" ht="42" hidden="1" customHeight="1">
      <c r="A1475" s="149"/>
      <c r="B1475" s="434"/>
      <c r="C1475" s="143" t="s">
        <v>274</v>
      </c>
      <c r="D1475" s="144"/>
      <c r="E1475" s="144"/>
      <c r="F1475" s="135"/>
      <c r="G1475" s="143"/>
      <c r="H1475" s="135"/>
      <c r="I1475" s="398">
        <f t="shared" ref="I1475:N1475" si="238">SUM(I1476:I1478)</f>
        <v>0</v>
      </c>
      <c r="J1475" s="398">
        <f t="shared" si="238"/>
        <v>0</v>
      </c>
      <c r="K1475" s="398">
        <f t="shared" si="238"/>
        <v>0</v>
      </c>
      <c r="L1475" s="398">
        <f t="shared" si="238"/>
        <v>0</v>
      </c>
      <c r="M1475" s="398">
        <f t="shared" si="238"/>
        <v>0</v>
      </c>
      <c r="N1475" s="398">
        <f t="shared" si="238"/>
        <v>0</v>
      </c>
      <c r="O1475" s="640">
        <f t="shared" si="232"/>
        <v>0</v>
      </c>
      <c r="P1475" s="27"/>
      <c r="Q1475" s="635">
        <f t="shared" si="233"/>
        <v>0</v>
      </c>
      <c r="R1475" s="27"/>
      <c r="S1475" s="27"/>
      <c r="T1475" s="27"/>
    </row>
    <row r="1476" spans="1:20" ht="51" hidden="1" customHeight="1">
      <c r="A1476" s="35" t="s">
        <v>439</v>
      </c>
      <c r="B1476" s="443" t="s">
        <v>799</v>
      </c>
      <c r="C1476" s="255" t="s">
        <v>1090</v>
      </c>
      <c r="D1476" s="228">
        <v>112</v>
      </c>
      <c r="E1476" s="229" t="s">
        <v>798</v>
      </c>
      <c r="F1476" s="230" t="s">
        <v>173</v>
      </c>
      <c r="G1476" s="464" t="s">
        <v>743</v>
      </c>
      <c r="H1476" s="467">
        <v>1</v>
      </c>
      <c r="I1476" s="388">
        <f>INT(L1476*$Q$139)</f>
        <v>0</v>
      </c>
      <c r="J1476" s="388">
        <f>INT(M1476*$R$139)</f>
        <v>0</v>
      </c>
      <c r="K1476" s="388">
        <f>SUM(I1476:J1476)</f>
        <v>0</v>
      </c>
      <c r="L1476" s="318"/>
      <c r="M1476" s="331"/>
      <c r="N1476" s="331">
        <f>SUM(L1476,M1476)</f>
        <v>0</v>
      </c>
      <c r="O1476" s="640">
        <f t="shared" si="232"/>
        <v>0</v>
      </c>
      <c r="P1476" s="27"/>
      <c r="Q1476" s="635">
        <f t="shared" si="233"/>
        <v>0</v>
      </c>
      <c r="R1476" s="27"/>
      <c r="S1476" s="27"/>
      <c r="T1476" s="27"/>
    </row>
    <row r="1477" spans="1:20" ht="48.75" hidden="1" customHeight="1">
      <c r="A1477" s="35" t="s">
        <v>439</v>
      </c>
      <c r="B1477" s="443" t="s">
        <v>835</v>
      </c>
      <c r="C1477" s="183" t="s">
        <v>681</v>
      </c>
      <c r="D1477" s="228">
        <v>112</v>
      </c>
      <c r="E1477" s="229" t="s">
        <v>795</v>
      </c>
      <c r="F1477" s="230" t="s">
        <v>173</v>
      </c>
      <c r="G1477" s="237" t="s">
        <v>725</v>
      </c>
      <c r="H1477" s="251">
        <v>1</v>
      </c>
      <c r="I1477" s="388">
        <f>INT(L1477*$Q$139)</f>
        <v>0</v>
      </c>
      <c r="J1477" s="388">
        <f>INT(M1477*$R$139)</f>
        <v>0</v>
      </c>
      <c r="K1477" s="388">
        <f>SUM(I1477:J1477)</f>
        <v>0</v>
      </c>
      <c r="L1477" s="167"/>
      <c r="M1477" s="330"/>
      <c r="N1477" s="167">
        <f>SUM(L1477,M1477)</f>
        <v>0</v>
      </c>
      <c r="O1477" s="640">
        <f t="shared" si="232"/>
        <v>0</v>
      </c>
      <c r="Q1477" s="635">
        <f t="shared" si="233"/>
        <v>0</v>
      </c>
    </row>
    <row r="1478" spans="1:20" ht="48.75" hidden="1" customHeight="1">
      <c r="A1478" s="35"/>
      <c r="B1478" s="443" t="s">
        <v>837</v>
      </c>
      <c r="C1478" s="241" t="s">
        <v>316</v>
      </c>
      <c r="D1478" s="228">
        <v>112</v>
      </c>
      <c r="E1478" s="229" t="s">
        <v>795</v>
      </c>
      <c r="F1478" s="230" t="s">
        <v>173</v>
      </c>
      <c r="G1478" s="242" t="s">
        <v>315</v>
      </c>
      <c r="H1478" s="271">
        <v>1</v>
      </c>
      <c r="I1478" s="388">
        <f>INT(L1478*$Q$139)</f>
        <v>0</v>
      </c>
      <c r="J1478" s="388">
        <f>INT(M1478*$R$139)</f>
        <v>0</v>
      </c>
      <c r="K1478" s="388">
        <f>SUM(I1478:J1478)</f>
        <v>0</v>
      </c>
      <c r="L1478" s="167"/>
      <c r="M1478" s="331"/>
      <c r="N1478" s="167">
        <f>SUM(L1478,M1478)</f>
        <v>0</v>
      </c>
      <c r="O1478" s="640">
        <f t="shared" si="232"/>
        <v>0</v>
      </c>
      <c r="Q1478" s="635">
        <f t="shared" si="233"/>
        <v>0</v>
      </c>
    </row>
    <row r="1479" spans="1:20" s="510" customFormat="1" ht="72" hidden="1" customHeight="1">
      <c r="A1479" s="501"/>
      <c r="B1479" s="502"/>
      <c r="C1479" s="503" t="s">
        <v>312</v>
      </c>
      <c r="D1479" s="504"/>
      <c r="E1479" s="505"/>
      <c r="F1479" s="504"/>
      <c r="G1479" s="504"/>
      <c r="H1479" s="504"/>
      <c r="I1479" s="506">
        <f>SUM(I1480,I1481)</f>
        <v>36847</v>
      </c>
      <c r="J1479" s="506">
        <f>SUM(J1480,J1481)</f>
        <v>12500</v>
      </c>
      <c r="K1479" s="506">
        <f>SUM(K1480)</f>
        <v>49347</v>
      </c>
      <c r="L1479" s="507">
        <f>SUM(L1480,L1481)</f>
        <v>36847</v>
      </c>
      <c r="M1479" s="507">
        <f>SUM(M1480,M1481)</f>
        <v>12500</v>
      </c>
      <c r="N1479" s="507">
        <f>SUM(N1480)</f>
        <v>49347</v>
      </c>
      <c r="O1479" s="640">
        <f t="shared" si="232"/>
        <v>5000</v>
      </c>
      <c r="P1479" s="508"/>
      <c r="Q1479" s="635">
        <f t="shared" si="233"/>
        <v>5000</v>
      </c>
      <c r="R1479" s="508"/>
      <c r="S1479" s="508"/>
      <c r="T1479" s="509"/>
    </row>
    <row r="1480" spans="1:20" ht="54.75" customHeight="1">
      <c r="A1480" s="273" t="s">
        <v>439</v>
      </c>
      <c r="B1480" s="481" t="s">
        <v>1030</v>
      </c>
      <c r="C1480" s="490" t="s">
        <v>316</v>
      </c>
      <c r="D1480" s="483">
        <v>8100</v>
      </c>
      <c r="E1480" s="484">
        <v>108288</v>
      </c>
      <c r="F1480" s="526" t="s">
        <v>173</v>
      </c>
      <c r="G1480" s="488" t="s">
        <v>315</v>
      </c>
      <c r="H1480" s="489">
        <v>1</v>
      </c>
      <c r="I1480" s="473">
        <f>INT(L1480*$Q$139)</f>
        <v>36847</v>
      </c>
      <c r="J1480" s="473">
        <f>INT(M1480*$R$139)</f>
        <v>12500</v>
      </c>
      <c r="K1480" s="473">
        <f>SUM(I1480:J1480)</f>
        <v>49347</v>
      </c>
      <c r="L1480" s="167">
        <v>36847</v>
      </c>
      <c r="M1480" s="167">
        <v>12500</v>
      </c>
      <c r="N1480" s="167">
        <f>SUM(L1480,M1480)</f>
        <v>49347</v>
      </c>
      <c r="O1480" s="640">
        <f t="shared" si="232"/>
        <v>5000</v>
      </c>
      <c r="P1480" s="405"/>
      <c r="Q1480" s="635">
        <f t="shared" si="233"/>
        <v>5000</v>
      </c>
    </row>
    <row r="1481" spans="1:20" ht="54.75" hidden="1" customHeight="1">
      <c r="A1481" s="273"/>
      <c r="B1481" s="481" t="s">
        <v>1188</v>
      </c>
      <c r="C1481" s="490" t="s">
        <v>1187</v>
      </c>
      <c r="D1481" s="483">
        <v>112</v>
      </c>
      <c r="E1481" s="484">
        <v>108288</v>
      </c>
      <c r="F1481" s="526" t="s">
        <v>173</v>
      </c>
      <c r="G1481" s="488" t="s">
        <v>1075</v>
      </c>
      <c r="H1481" s="489"/>
      <c r="I1481" s="473">
        <f>INT(L1481*$Q$139)</f>
        <v>0</v>
      </c>
      <c r="J1481" s="473">
        <f>INT(M1481*$R$139)</f>
        <v>0</v>
      </c>
      <c r="K1481" s="473">
        <f>SUM(I1481:J1481)</f>
        <v>0</v>
      </c>
      <c r="L1481" s="167"/>
      <c r="M1481" s="167"/>
      <c r="N1481" s="167">
        <f>L1481+M1481</f>
        <v>0</v>
      </c>
      <c r="O1481" s="640">
        <f t="shared" si="232"/>
        <v>0</v>
      </c>
      <c r="P1481" s="405"/>
      <c r="Q1481" s="635">
        <f t="shared" si="233"/>
        <v>0</v>
      </c>
    </row>
    <row r="1482" spans="1:20" ht="82.5" hidden="1" customHeight="1">
      <c r="A1482" s="25"/>
      <c r="B1482" s="1287" t="s">
        <v>1276</v>
      </c>
      <c r="C1482" s="1287"/>
      <c r="D1482" s="1287"/>
      <c r="E1482" s="1287"/>
      <c r="F1482" s="1287"/>
      <c r="G1482" s="1287"/>
      <c r="H1482" s="1287"/>
      <c r="I1482" s="1287"/>
      <c r="J1482" s="1287"/>
      <c r="K1482" s="1287"/>
      <c r="L1482" s="30"/>
      <c r="M1482" s="30"/>
      <c r="N1482" s="30"/>
      <c r="O1482" s="640">
        <f t="shared" si="232"/>
        <v>0</v>
      </c>
      <c r="P1482" s="27"/>
      <c r="Q1482" s="635">
        <f t="shared" si="233"/>
        <v>0</v>
      </c>
      <c r="R1482" s="27"/>
      <c r="S1482" s="27"/>
      <c r="T1482" s="27"/>
    </row>
    <row r="1483" spans="1:20" ht="17.100000000000001" hidden="1" customHeight="1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640">
        <f t="shared" si="232"/>
        <v>0</v>
      </c>
      <c r="P1483" s="27"/>
      <c r="Q1483" s="635">
        <f t="shared" si="233"/>
        <v>0</v>
      </c>
      <c r="R1483" s="27"/>
      <c r="S1483" s="27"/>
      <c r="T1483" s="27"/>
    </row>
    <row r="1484" spans="1:20" ht="21.95" hidden="1" customHeight="1" thickBot="1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640">
        <f t="shared" si="232"/>
        <v>0</v>
      </c>
      <c r="P1484" s="27"/>
      <c r="Q1484" s="635">
        <f t="shared" si="233"/>
        <v>0</v>
      </c>
      <c r="R1484" s="27"/>
      <c r="S1484" s="27"/>
      <c r="T1484" s="27"/>
    </row>
    <row r="1485" spans="1:20" ht="31.5" hidden="1" customHeight="1">
      <c r="C1485" s="1204" t="s">
        <v>51</v>
      </c>
      <c r="D1485" s="1204"/>
      <c r="E1485" s="1204"/>
      <c r="F1485" s="1204"/>
      <c r="H1485" s="1243" t="s">
        <v>11</v>
      </c>
      <c r="I1485" s="1244"/>
      <c r="J1485" s="1244"/>
      <c r="K1485" s="1245"/>
      <c r="L1485" s="337"/>
      <c r="M1485" s="337"/>
      <c r="N1485" s="337"/>
      <c r="O1485" s="640">
        <f t="shared" si="232"/>
        <v>0</v>
      </c>
      <c r="P1485" s="27"/>
      <c r="Q1485" s="635">
        <f t="shared" si="233"/>
        <v>0</v>
      </c>
      <c r="R1485" s="27"/>
      <c r="S1485" s="27"/>
      <c r="T1485" s="27"/>
    </row>
    <row r="1486" spans="1:20" ht="31.5" hidden="1" customHeight="1">
      <c r="C1486" s="1204" t="s">
        <v>52</v>
      </c>
      <c r="D1486" s="1204"/>
      <c r="E1486" s="1204"/>
      <c r="F1486" s="1204"/>
      <c r="H1486" s="1208" t="s">
        <v>21</v>
      </c>
      <c r="I1486" s="1209"/>
      <c r="J1486" s="1209"/>
      <c r="K1486" s="1210"/>
      <c r="L1486" s="336"/>
      <c r="M1486" s="336"/>
      <c r="N1486" s="336"/>
      <c r="O1486" s="640">
        <f t="shared" si="232"/>
        <v>0</v>
      </c>
      <c r="P1486" s="27"/>
      <c r="Q1486" s="635">
        <f t="shared" si="233"/>
        <v>0</v>
      </c>
      <c r="R1486" s="27"/>
      <c r="S1486" s="27"/>
      <c r="T1486" s="27"/>
    </row>
    <row r="1487" spans="1:20" ht="31.5" hidden="1" customHeight="1">
      <c r="C1487" s="1204" t="s">
        <v>50</v>
      </c>
      <c r="D1487" s="1204"/>
      <c r="E1487" s="1204"/>
      <c r="F1487" s="1204"/>
      <c r="H1487" s="1211"/>
      <c r="I1487" s="1212"/>
      <c r="J1487" s="1212"/>
      <c r="K1487" s="1213"/>
      <c r="L1487" s="336"/>
      <c r="M1487" s="336"/>
      <c r="N1487" s="336"/>
      <c r="O1487" s="640">
        <f t="shared" si="232"/>
        <v>0</v>
      </c>
      <c r="P1487" s="27"/>
      <c r="Q1487" s="635">
        <f t="shared" si="233"/>
        <v>0</v>
      </c>
      <c r="R1487" s="27"/>
      <c r="S1487" s="27"/>
      <c r="T1487" s="27"/>
    </row>
    <row r="1488" spans="1:20" ht="39.950000000000003" hidden="1" customHeight="1">
      <c r="C1488" s="1252"/>
      <c r="D1488" s="1252"/>
      <c r="E1488" s="1252"/>
      <c r="F1488" s="1252"/>
      <c r="G1488" s="44"/>
      <c r="H1488" s="1211" t="s">
        <v>22</v>
      </c>
      <c r="I1488" s="1212"/>
      <c r="J1488" s="1212"/>
      <c r="K1488" s="477">
        <f>K1535</f>
        <v>14317270</v>
      </c>
      <c r="L1488" s="336"/>
      <c r="M1488" s="336"/>
      <c r="N1488" s="86"/>
      <c r="O1488" s="640">
        <f t="shared" si="232"/>
        <v>0</v>
      </c>
      <c r="P1488" s="27"/>
      <c r="Q1488" s="635">
        <f t="shared" si="233"/>
        <v>0</v>
      </c>
      <c r="R1488" s="27"/>
      <c r="S1488" s="27"/>
      <c r="T1488" s="27"/>
    </row>
    <row r="1489" spans="1:20" ht="46.5" hidden="1" customHeight="1" thickBot="1">
      <c r="A1489" s="75"/>
      <c r="B1489" s="75"/>
      <c r="C1489" s="65"/>
      <c r="D1489" s="65"/>
      <c r="E1489" s="65"/>
      <c r="F1489" s="10"/>
      <c r="G1489" s="10"/>
      <c r="H1489" s="1283" t="s">
        <v>13</v>
      </c>
      <c r="I1489" s="1284"/>
      <c r="J1489" s="1284"/>
      <c r="K1489" s="1285"/>
      <c r="L1489" s="336"/>
      <c r="M1489" s="336"/>
      <c r="N1489" s="336"/>
      <c r="O1489" s="640">
        <f t="shared" si="232"/>
        <v>0</v>
      </c>
      <c r="P1489" s="27"/>
      <c r="Q1489" s="635">
        <f t="shared" si="233"/>
        <v>0</v>
      </c>
      <c r="R1489" s="27"/>
      <c r="S1489" s="27"/>
      <c r="T1489" s="27"/>
    </row>
    <row r="1490" spans="1:20" ht="35.25" hidden="1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640">
        <f t="shared" si="232"/>
        <v>0</v>
      </c>
      <c r="P1490" s="27"/>
      <c r="Q1490" s="635">
        <f t="shared" si="233"/>
        <v>0</v>
      </c>
      <c r="R1490" s="27"/>
      <c r="S1490" s="27"/>
      <c r="T1490" s="27"/>
    </row>
    <row r="1491" spans="1:20" ht="30" hidden="1" customHeight="1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640">
        <f t="shared" si="232"/>
        <v>0</v>
      </c>
      <c r="P1491" s="27"/>
      <c r="Q1491" s="635">
        <f t="shared" si="233"/>
        <v>0</v>
      </c>
      <c r="R1491" s="27"/>
      <c r="S1491" s="27"/>
      <c r="T1491" s="27"/>
    </row>
    <row r="1492" spans="1:20" ht="39.950000000000003" hidden="1" customHeight="1">
      <c r="A1492" s="346"/>
      <c r="B1492" s="1226" t="s">
        <v>1037</v>
      </c>
      <c r="C1492" s="1226"/>
      <c r="D1492" s="1226"/>
      <c r="E1492" s="1226"/>
      <c r="F1492" s="1226"/>
      <c r="G1492" s="1226"/>
      <c r="H1492" s="1226"/>
      <c r="I1492" s="1226"/>
      <c r="J1492" s="1226"/>
      <c r="K1492" s="1226"/>
      <c r="L1492" s="346"/>
      <c r="M1492" s="346"/>
      <c r="N1492" s="346"/>
      <c r="O1492" s="640">
        <f t="shared" si="232"/>
        <v>0</v>
      </c>
      <c r="P1492" s="27"/>
      <c r="Q1492" s="635">
        <f t="shared" si="233"/>
        <v>0</v>
      </c>
      <c r="R1492" s="27"/>
      <c r="S1492" s="27"/>
      <c r="T1492" s="27"/>
    </row>
    <row r="1493" spans="1:20" ht="20.100000000000001" hidden="1" customHeight="1">
      <c r="A1493" s="46"/>
      <c r="B1493" s="46"/>
      <c r="C1493" s="46"/>
      <c r="D1493" s="46"/>
      <c r="E1493" s="46"/>
      <c r="F1493" s="46"/>
      <c r="G1493" s="46"/>
      <c r="H1493" s="46"/>
      <c r="I1493" s="46"/>
      <c r="J1493" s="46"/>
      <c r="K1493" s="46"/>
      <c r="L1493" s="46"/>
      <c r="M1493" s="46"/>
      <c r="N1493" s="46"/>
      <c r="O1493" s="640">
        <f t="shared" si="232"/>
        <v>0</v>
      </c>
      <c r="P1493" s="27"/>
      <c r="Q1493" s="635">
        <f t="shared" si="233"/>
        <v>0</v>
      </c>
      <c r="R1493" s="27"/>
      <c r="S1493" s="27"/>
      <c r="T1493" s="27"/>
    </row>
    <row r="1494" spans="1:20" s="500" customFormat="1" ht="90" hidden="1">
      <c r="A1494" s="496" t="s">
        <v>14</v>
      </c>
      <c r="B1494" s="497" t="s">
        <v>14</v>
      </c>
      <c r="C1494" s="497" t="s">
        <v>37</v>
      </c>
      <c r="D1494" s="497" t="s">
        <v>440</v>
      </c>
      <c r="E1494" s="497" t="s">
        <v>16</v>
      </c>
      <c r="F1494" s="497" t="s">
        <v>185</v>
      </c>
      <c r="G1494" s="497" t="s">
        <v>178</v>
      </c>
      <c r="H1494" s="497" t="s">
        <v>179</v>
      </c>
      <c r="I1494" s="497" t="s">
        <v>180</v>
      </c>
      <c r="J1494" s="497" t="s">
        <v>1275</v>
      </c>
      <c r="K1494" s="497" t="s">
        <v>200</v>
      </c>
      <c r="L1494" s="496" t="s">
        <v>180</v>
      </c>
      <c r="M1494" s="496" t="s">
        <v>181</v>
      </c>
      <c r="N1494" s="496" t="s">
        <v>200</v>
      </c>
      <c r="O1494" s="640" t="e">
        <f t="shared" si="232"/>
        <v>#VALUE!</v>
      </c>
      <c r="P1494" s="498"/>
      <c r="Q1494" s="635" t="e">
        <f t="shared" si="233"/>
        <v>#VALUE!</v>
      </c>
      <c r="R1494" s="498"/>
      <c r="S1494" s="498"/>
      <c r="T1494" s="499"/>
    </row>
    <row r="1495" spans="1:20" s="579" customFormat="1" ht="46.5" customHeight="1">
      <c r="A1495" s="572"/>
      <c r="B1495" s="572"/>
      <c r="C1495" s="573" t="s">
        <v>700</v>
      </c>
      <c r="D1495" s="574"/>
      <c r="E1495" s="574"/>
      <c r="F1495" s="575" t="s">
        <v>699</v>
      </c>
      <c r="G1495" s="576"/>
      <c r="H1495" s="576"/>
      <c r="I1495" s="577">
        <f>SUM(I1496,I1498,I1501,I1503,I1506)</f>
        <v>91873</v>
      </c>
      <c r="J1495" s="577">
        <f>SUM(J1496,J1498,J1501,J1503,J1506)</f>
        <v>2000</v>
      </c>
      <c r="K1495" s="577">
        <f>I1495+J1495</f>
        <v>93873</v>
      </c>
      <c r="L1495" s="578">
        <f>SUM(L1496,L1498,L1501,L1503,L1506)</f>
        <v>91873</v>
      </c>
      <c r="M1495" s="578">
        <f>SUM(M1496,M1498,M1501,M1503,M1506)</f>
        <v>2000</v>
      </c>
      <c r="N1495" s="578">
        <f>L1495+M1495</f>
        <v>93873</v>
      </c>
      <c r="O1495" s="644">
        <f t="shared" si="232"/>
        <v>800</v>
      </c>
      <c r="Q1495" s="635">
        <f t="shared" si="233"/>
        <v>800</v>
      </c>
    </row>
    <row r="1496" spans="1:20" s="510" customFormat="1" ht="72" hidden="1" customHeight="1">
      <c r="A1496" s="501"/>
      <c r="B1496" s="502"/>
      <c r="C1496" s="503" t="s">
        <v>141</v>
      </c>
      <c r="D1496" s="504"/>
      <c r="E1496" s="505"/>
      <c r="F1496" s="504"/>
      <c r="G1496" s="504"/>
      <c r="H1496" s="504"/>
      <c r="I1496" s="506">
        <f>SUM(I1497)</f>
        <v>55873</v>
      </c>
      <c r="J1496" s="506">
        <f>SUM(J1497)</f>
        <v>0</v>
      </c>
      <c r="K1496" s="506">
        <f>I1496+J1496</f>
        <v>55873</v>
      </c>
      <c r="L1496" s="507">
        <f>SUM(L1497)</f>
        <v>55873</v>
      </c>
      <c r="M1496" s="507">
        <f>SUM(M1497)</f>
        <v>0</v>
      </c>
      <c r="N1496" s="507">
        <f>L1496+M1496</f>
        <v>55873</v>
      </c>
      <c r="O1496" s="640">
        <f t="shared" si="232"/>
        <v>0</v>
      </c>
      <c r="P1496" s="508"/>
      <c r="Q1496" s="635">
        <f t="shared" si="233"/>
        <v>0</v>
      </c>
      <c r="R1496" s="508"/>
      <c r="S1496" s="508"/>
      <c r="T1496" s="509"/>
    </row>
    <row r="1497" spans="1:20" ht="54.75" hidden="1" customHeight="1">
      <c r="A1497" s="273"/>
      <c r="B1497" s="481" t="s">
        <v>1173</v>
      </c>
      <c r="C1497" s="490" t="s">
        <v>317</v>
      </c>
      <c r="D1497" s="483">
        <v>8100</v>
      </c>
      <c r="E1497" s="484">
        <v>108288</v>
      </c>
      <c r="F1497" s="526" t="s">
        <v>698</v>
      </c>
      <c r="G1497" s="488" t="s">
        <v>79</v>
      </c>
      <c r="H1497" s="489">
        <v>1</v>
      </c>
      <c r="I1497" s="473">
        <f>INT(L1497*$Q$139)</f>
        <v>55873</v>
      </c>
      <c r="J1497" s="473">
        <f>INT(M1497*$R$139)</f>
        <v>0</v>
      </c>
      <c r="K1497" s="473">
        <f>SUM(I1497:J1497)</f>
        <v>55873</v>
      </c>
      <c r="L1497" s="167">
        <v>55873</v>
      </c>
      <c r="M1497" s="167"/>
      <c r="N1497" s="167">
        <f>SUM(L1497,M1497)</f>
        <v>55873</v>
      </c>
      <c r="O1497" s="640">
        <f t="shared" si="232"/>
        <v>0</v>
      </c>
      <c r="P1497" s="405"/>
      <c r="Q1497" s="635">
        <f t="shared" si="233"/>
        <v>0</v>
      </c>
    </row>
    <row r="1498" spans="1:20" s="510" customFormat="1" ht="72" hidden="1" customHeight="1">
      <c r="A1498" s="501"/>
      <c r="B1498" s="502"/>
      <c r="C1498" s="503" t="s">
        <v>310</v>
      </c>
      <c r="D1498" s="504"/>
      <c r="E1498" s="505"/>
      <c r="F1498" s="504"/>
      <c r="G1498" s="504"/>
      <c r="H1498" s="504"/>
      <c r="I1498" s="506">
        <f>SUM(I1499,I1500)</f>
        <v>28000</v>
      </c>
      <c r="J1498" s="506">
        <f>SUM(J1499,J1500)</f>
        <v>1178</v>
      </c>
      <c r="K1498" s="506">
        <f>I1498+J1498</f>
        <v>29178</v>
      </c>
      <c r="L1498" s="507">
        <f>SUM(L1499,L1500)</f>
        <v>28000</v>
      </c>
      <c r="M1498" s="507">
        <f>SUM(M1499,M1500)</f>
        <v>1178</v>
      </c>
      <c r="N1498" s="507">
        <f>L1498+M1498</f>
        <v>29178</v>
      </c>
      <c r="O1498" s="640">
        <f t="shared" si="232"/>
        <v>471.2</v>
      </c>
      <c r="P1498" s="508"/>
      <c r="Q1498" s="635">
        <f t="shared" si="233"/>
        <v>471.2</v>
      </c>
      <c r="R1498" s="508"/>
      <c r="S1498" s="508"/>
      <c r="T1498" s="509"/>
    </row>
    <row r="1499" spans="1:20" ht="54.75" customHeight="1">
      <c r="A1499" s="273"/>
      <c r="B1499" s="481" t="s">
        <v>1027</v>
      </c>
      <c r="C1499" s="490" t="s">
        <v>681</v>
      </c>
      <c r="D1499" s="483">
        <v>8100</v>
      </c>
      <c r="E1499" s="484">
        <v>108288</v>
      </c>
      <c r="F1499" s="526" t="s">
        <v>698</v>
      </c>
      <c r="G1499" s="488" t="s">
        <v>725</v>
      </c>
      <c r="H1499" s="489">
        <v>1</v>
      </c>
      <c r="I1499" s="473">
        <f>INT(L1499*$Q$139)</f>
        <v>28000</v>
      </c>
      <c r="J1499" s="473">
        <f>INT(M1499*$R$139)</f>
        <v>1178</v>
      </c>
      <c r="K1499" s="473">
        <f>SUM(I1499:J1499)</f>
        <v>29178</v>
      </c>
      <c r="L1499" s="167">
        <v>28000</v>
      </c>
      <c r="M1499" s="167">
        <v>1178</v>
      </c>
      <c r="N1499" s="167">
        <f>SUM(L1499,M1499)</f>
        <v>29178</v>
      </c>
      <c r="O1499" s="640">
        <f t="shared" si="232"/>
        <v>471.2</v>
      </c>
      <c r="P1499" s="405"/>
      <c r="Q1499" s="635">
        <f t="shared" si="233"/>
        <v>471.2</v>
      </c>
    </row>
    <row r="1500" spans="1:20" ht="54.75" hidden="1" customHeight="1">
      <c r="A1500" s="273"/>
      <c r="B1500" s="481" t="s">
        <v>1186</v>
      </c>
      <c r="C1500" s="490" t="s">
        <v>1074</v>
      </c>
      <c r="D1500" s="483">
        <v>112</v>
      </c>
      <c r="E1500" s="484">
        <v>108288</v>
      </c>
      <c r="F1500" s="526" t="s">
        <v>698</v>
      </c>
      <c r="G1500" s="488" t="s">
        <v>1075</v>
      </c>
      <c r="H1500" s="489"/>
      <c r="I1500" s="473">
        <f>INT(L1500*$Q$139)</f>
        <v>0</v>
      </c>
      <c r="J1500" s="473">
        <f>INT(M1500*$R$139)</f>
        <v>0</v>
      </c>
      <c r="K1500" s="473">
        <f>SUM(I1500:J1500)</f>
        <v>0</v>
      </c>
      <c r="L1500" s="167"/>
      <c r="M1500" s="167"/>
      <c r="N1500" s="167">
        <f>L1500+M1500</f>
        <v>0</v>
      </c>
      <c r="O1500" s="640">
        <f t="shared" si="232"/>
        <v>0</v>
      </c>
      <c r="P1500" s="405"/>
      <c r="Q1500" s="635">
        <f t="shared" si="233"/>
        <v>0</v>
      </c>
    </row>
    <row r="1501" spans="1:20" s="510" customFormat="1" ht="72" hidden="1" customHeight="1">
      <c r="A1501" s="501"/>
      <c r="B1501" s="502"/>
      <c r="C1501" s="503" t="s">
        <v>278</v>
      </c>
      <c r="D1501" s="504"/>
      <c r="E1501" s="505"/>
      <c r="F1501" s="504"/>
      <c r="G1501" s="504"/>
      <c r="H1501" s="504"/>
      <c r="I1501" s="506">
        <f>SUM(I1502)</f>
        <v>5000</v>
      </c>
      <c r="J1501" s="506">
        <f>SUM(J1502)</f>
        <v>0</v>
      </c>
      <c r="K1501" s="506">
        <f>I1501+J1501</f>
        <v>5000</v>
      </c>
      <c r="L1501" s="507">
        <f>SUM(L1502)</f>
        <v>5000</v>
      </c>
      <c r="M1501" s="507"/>
      <c r="N1501" s="507">
        <f>L1501+M1501</f>
        <v>5000</v>
      </c>
      <c r="O1501" s="640">
        <f t="shared" si="232"/>
        <v>0</v>
      </c>
      <c r="P1501" s="508"/>
      <c r="Q1501" s="635">
        <f t="shared" si="233"/>
        <v>0</v>
      </c>
      <c r="R1501" s="508"/>
      <c r="S1501" s="508"/>
      <c r="T1501" s="509"/>
    </row>
    <row r="1502" spans="1:20" ht="54.75" hidden="1" customHeight="1">
      <c r="A1502" s="273" t="s">
        <v>336</v>
      </c>
      <c r="B1502" s="481" t="s">
        <v>1031</v>
      </c>
      <c r="C1502" s="490" t="s">
        <v>319</v>
      </c>
      <c r="D1502" s="483">
        <v>8100</v>
      </c>
      <c r="E1502" s="484" t="s">
        <v>686</v>
      </c>
      <c r="F1502" s="526" t="s">
        <v>698</v>
      </c>
      <c r="G1502" s="488" t="s">
        <v>18</v>
      </c>
      <c r="H1502" s="491">
        <v>1</v>
      </c>
      <c r="I1502" s="473">
        <f>INT(L1502*$Q$139)</f>
        <v>5000</v>
      </c>
      <c r="J1502" s="473">
        <f>INT(M1502*$R$139)</f>
        <v>0</v>
      </c>
      <c r="K1502" s="473">
        <f>SUM(I1502:J1502)</f>
        <v>5000</v>
      </c>
      <c r="L1502" s="167">
        <v>5000</v>
      </c>
      <c r="M1502" s="167"/>
      <c r="N1502" s="167">
        <f>SUM(L1502,M1502)</f>
        <v>5000</v>
      </c>
      <c r="O1502" s="640">
        <f t="shared" si="232"/>
        <v>0</v>
      </c>
      <c r="P1502" s="405"/>
      <c r="Q1502" s="635">
        <f t="shared" si="233"/>
        <v>0</v>
      </c>
    </row>
    <row r="1503" spans="1:20" ht="41.25" hidden="1" customHeight="1">
      <c r="A1503" s="149"/>
      <c r="B1503" s="434"/>
      <c r="C1503" s="143" t="s">
        <v>274</v>
      </c>
      <c r="D1503" s="144"/>
      <c r="E1503" s="144"/>
      <c r="F1503" s="137"/>
      <c r="G1503" s="143"/>
      <c r="H1503" s="135"/>
      <c r="I1503" s="391">
        <f t="shared" ref="I1503:N1503" si="239">SUM(I1504:I1505)</f>
        <v>0</v>
      </c>
      <c r="J1503" s="391">
        <f t="shared" si="239"/>
        <v>0</v>
      </c>
      <c r="K1503" s="391">
        <f t="shared" si="239"/>
        <v>0</v>
      </c>
      <c r="L1503" s="391">
        <f t="shared" si="239"/>
        <v>0</v>
      </c>
      <c r="M1503" s="391">
        <f t="shared" si="239"/>
        <v>0</v>
      </c>
      <c r="N1503" s="391">
        <f t="shared" si="239"/>
        <v>0</v>
      </c>
      <c r="O1503" s="640">
        <f t="shared" si="232"/>
        <v>0</v>
      </c>
      <c r="Q1503" s="635">
        <f t="shared" si="233"/>
        <v>0</v>
      </c>
    </row>
    <row r="1504" spans="1:20" ht="48.75" hidden="1" customHeight="1">
      <c r="A1504" s="35" t="s">
        <v>439</v>
      </c>
      <c r="B1504" s="443" t="s">
        <v>835</v>
      </c>
      <c r="C1504" s="183" t="s">
        <v>681</v>
      </c>
      <c r="D1504" s="228">
        <v>112</v>
      </c>
      <c r="E1504" s="229" t="s">
        <v>795</v>
      </c>
      <c r="F1504" s="230" t="s">
        <v>698</v>
      </c>
      <c r="G1504" s="237" t="s">
        <v>725</v>
      </c>
      <c r="H1504" s="251">
        <v>1</v>
      </c>
      <c r="I1504" s="388">
        <f>INT(L1504*$Q$139)</f>
        <v>0</v>
      </c>
      <c r="J1504" s="388">
        <f>INT(M1504*$R$139)</f>
        <v>0</v>
      </c>
      <c r="K1504" s="388">
        <f>SUM(I1504:J1504)</f>
        <v>0</v>
      </c>
      <c r="L1504" s="167"/>
      <c r="M1504" s="331"/>
      <c r="N1504" s="167">
        <f>SUM(L1504,M1504)</f>
        <v>0</v>
      </c>
      <c r="O1504" s="640">
        <f t="shared" si="232"/>
        <v>0</v>
      </c>
      <c r="Q1504" s="635">
        <f t="shared" si="233"/>
        <v>0</v>
      </c>
    </row>
    <row r="1505" spans="1:20" ht="48.75" hidden="1" customHeight="1">
      <c r="A1505" s="35"/>
      <c r="B1505" s="443" t="s">
        <v>837</v>
      </c>
      <c r="C1505" s="241" t="s">
        <v>316</v>
      </c>
      <c r="D1505" s="228">
        <v>112</v>
      </c>
      <c r="E1505" s="229" t="s">
        <v>795</v>
      </c>
      <c r="F1505" s="230" t="s">
        <v>698</v>
      </c>
      <c r="G1505" s="242" t="s">
        <v>315</v>
      </c>
      <c r="H1505" s="271">
        <v>1</v>
      </c>
      <c r="I1505" s="388">
        <f>INT(L1505*$Q$139)</f>
        <v>0</v>
      </c>
      <c r="J1505" s="388">
        <f>INT(M1505*$R$139)</f>
        <v>0</v>
      </c>
      <c r="K1505" s="388">
        <f>SUM(I1505:J1505)</f>
        <v>0</v>
      </c>
      <c r="L1505" s="167"/>
      <c r="M1505" s="331"/>
      <c r="N1505" s="167">
        <f>SUM(L1505,M1505)</f>
        <v>0</v>
      </c>
      <c r="O1505" s="640">
        <f t="shared" si="232"/>
        <v>0</v>
      </c>
      <c r="Q1505" s="635">
        <f t="shared" si="233"/>
        <v>0</v>
      </c>
    </row>
    <row r="1506" spans="1:20" s="510" customFormat="1" ht="72" hidden="1" customHeight="1">
      <c r="A1506" s="501"/>
      <c r="B1506" s="502"/>
      <c r="C1506" s="503" t="s">
        <v>312</v>
      </c>
      <c r="D1506" s="504"/>
      <c r="E1506" s="505"/>
      <c r="F1506" s="504"/>
      <c r="G1506" s="504"/>
      <c r="H1506" s="504"/>
      <c r="I1506" s="506">
        <f>SUM(I1507:I1508)</f>
        <v>3000</v>
      </c>
      <c r="J1506" s="506">
        <f>SUM(J1507:J1508)</f>
        <v>822</v>
      </c>
      <c r="K1506" s="506">
        <f>I1506+J1506</f>
        <v>3822</v>
      </c>
      <c r="L1506" s="507">
        <f>SUM(L1507:L1508)</f>
        <v>3000</v>
      </c>
      <c r="M1506" s="507">
        <f>SUM(M1507:M1508)</f>
        <v>822</v>
      </c>
      <c r="N1506" s="507">
        <f>L1506+M1506</f>
        <v>3822</v>
      </c>
      <c r="O1506" s="640">
        <f t="shared" si="232"/>
        <v>328.8</v>
      </c>
      <c r="P1506" s="508"/>
      <c r="Q1506" s="635">
        <f t="shared" si="233"/>
        <v>328.8</v>
      </c>
      <c r="R1506" s="508"/>
      <c r="S1506" s="508"/>
      <c r="T1506" s="509"/>
    </row>
    <row r="1507" spans="1:20" ht="54.75" customHeight="1">
      <c r="A1507" s="273"/>
      <c r="B1507" s="481" t="s">
        <v>1030</v>
      </c>
      <c r="C1507" s="490" t="s">
        <v>316</v>
      </c>
      <c r="D1507" s="483">
        <v>8100</v>
      </c>
      <c r="E1507" s="484">
        <v>108288</v>
      </c>
      <c r="F1507" s="526" t="s">
        <v>698</v>
      </c>
      <c r="G1507" s="488" t="s">
        <v>315</v>
      </c>
      <c r="H1507" s="489">
        <v>1</v>
      </c>
      <c r="I1507" s="473">
        <f>INT(L1507*$Q$139)</f>
        <v>3000</v>
      </c>
      <c r="J1507" s="473">
        <f>INT(M1507*$R$139)</f>
        <v>822</v>
      </c>
      <c r="K1507" s="473">
        <f>SUM(I1507:J1507)</f>
        <v>3822</v>
      </c>
      <c r="L1507" s="167">
        <v>3000</v>
      </c>
      <c r="M1507" s="167">
        <v>822</v>
      </c>
      <c r="N1507" s="167">
        <f>SUM(L1507,M1507)</f>
        <v>3822</v>
      </c>
      <c r="O1507" s="640">
        <f t="shared" si="232"/>
        <v>328.8</v>
      </c>
      <c r="P1507" s="405"/>
      <c r="Q1507" s="635">
        <f t="shared" si="233"/>
        <v>328.8</v>
      </c>
    </row>
    <row r="1508" spans="1:20" ht="54.75" hidden="1" customHeight="1">
      <c r="A1508" s="273"/>
      <c r="B1508" s="481" t="s">
        <v>1188</v>
      </c>
      <c r="C1508" s="490" t="s">
        <v>1074</v>
      </c>
      <c r="D1508" s="483">
        <v>112</v>
      </c>
      <c r="E1508" s="484">
        <v>108288</v>
      </c>
      <c r="F1508" s="526" t="s">
        <v>698</v>
      </c>
      <c r="G1508" s="488" t="s">
        <v>1075</v>
      </c>
      <c r="H1508" s="489"/>
      <c r="I1508" s="473">
        <f>INT(L1508*$Q$139)</f>
        <v>0</v>
      </c>
      <c r="J1508" s="473">
        <f>INT(M1508*$R$139)</f>
        <v>0</v>
      </c>
      <c r="K1508" s="473">
        <f>SUM(I1508:J1508)</f>
        <v>0</v>
      </c>
      <c r="L1508" s="167"/>
      <c r="M1508" s="167"/>
      <c r="N1508" s="167">
        <f>L1508+M1508</f>
        <v>0</v>
      </c>
      <c r="O1508" s="640">
        <f t="shared" si="232"/>
        <v>0</v>
      </c>
      <c r="P1508" s="405"/>
      <c r="Q1508" s="635">
        <f t="shared" si="233"/>
        <v>0</v>
      </c>
    </row>
    <row r="1509" spans="1:20" s="579" customFormat="1" ht="46.5" customHeight="1">
      <c r="A1509" s="572"/>
      <c r="B1509" s="572"/>
      <c r="C1509" s="573" t="s">
        <v>164</v>
      </c>
      <c r="D1509" s="574"/>
      <c r="E1509" s="574"/>
      <c r="F1509" s="575" t="s">
        <v>126</v>
      </c>
      <c r="G1509" s="576"/>
      <c r="H1509" s="576"/>
      <c r="I1509" s="577">
        <f>SUM(I1510,I1513,I1515,I1518,I1520,I1524)</f>
        <v>310413</v>
      </c>
      <c r="J1509" s="577">
        <f>SUM(J1510,J1513,J1515,J1518,J1520,J1524)</f>
        <v>33059</v>
      </c>
      <c r="K1509" s="577">
        <f>I1509+J1509</f>
        <v>343472</v>
      </c>
      <c r="L1509" s="578">
        <f>SUM(L1510,L1513,L1515,L1518,L1520,L1524)</f>
        <v>310413</v>
      </c>
      <c r="M1509" s="578">
        <f>SUM(M1510,M1513,M1515,M1518,M1520,M1524)</f>
        <v>33059</v>
      </c>
      <c r="N1509" s="578">
        <f>L1509+M1509</f>
        <v>343472</v>
      </c>
      <c r="O1509" s="644">
        <f t="shared" si="232"/>
        <v>13223.599999999999</v>
      </c>
      <c r="Q1509" s="635">
        <f t="shared" si="233"/>
        <v>13223.6</v>
      </c>
    </row>
    <row r="1510" spans="1:20" s="510" customFormat="1" ht="72" hidden="1" customHeight="1">
      <c r="A1510" s="501"/>
      <c r="B1510" s="502"/>
      <c r="C1510" s="503" t="s">
        <v>292</v>
      </c>
      <c r="D1510" s="504"/>
      <c r="E1510" s="505"/>
      <c r="F1510" s="504"/>
      <c r="G1510" s="504"/>
      <c r="H1510" s="504"/>
      <c r="I1510" s="506">
        <f>SUM(I1511,I1512)</f>
        <v>6000</v>
      </c>
      <c r="J1510" s="506">
        <f>SUM(J1511,J1512)</f>
        <v>6345</v>
      </c>
      <c r="K1510" s="506">
        <f>I1510+J1510</f>
        <v>12345</v>
      </c>
      <c r="L1510" s="507">
        <f>SUM(L1511,L1512)</f>
        <v>6000</v>
      </c>
      <c r="M1510" s="507">
        <f>SUM(M1511,M1512)</f>
        <v>6345</v>
      </c>
      <c r="N1510" s="507">
        <f>L1510+M1510</f>
        <v>12345</v>
      </c>
      <c r="O1510" s="640">
        <f t="shared" si="232"/>
        <v>2538</v>
      </c>
      <c r="P1510" s="508"/>
      <c r="Q1510" s="635">
        <f t="shared" si="233"/>
        <v>2538</v>
      </c>
      <c r="R1510" s="508"/>
      <c r="S1510" s="508"/>
      <c r="T1510" s="509"/>
    </row>
    <row r="1511" spans="1:20" ht="54.75" hidden="1" customHeight="1">
      <c r="A1511" s="273" t="s">
        <v>505</v>
      </c>
      <c r="B1511" s="481" t="s">
        <v>1172</v>
      </c>
      <c r="C1511" s="490" t="s">
        <v>503</v>
      </c>
      <c r="D1511" s="483">
        <v>8100</v>
      </c>
      <c r="E1511" s="484">
        <v>108288</v>
      </c>
      <c r="F1511" s="526" t="s">
        <v>169</v>
      </c>
      <c r="G1511" s="488" t="s">
        <v>329</v>
      </c>
      <c r="H1511" s="489">
        <v>1</v>
      </c>
      <c r="I1511" s="473">
        <f>INT(L1511*$Q$139)</f>
        <v>6000</v>
      </c>
      <c r="J1511" s="473">
        <f>INT(M1511*$R$139)</f>
        <v>0</v>
      </c>
      <c r="K1511" s="473">
        <f>SUM(I1511:J1511)</f>
        <v>6000</v>
      </c>
      <c r="L1511" s="167">
        <v>6000</v>
      </c>
      <c r="M1511" s="167"/>
      <c r="N1511" s="167">
        <f>SUM(L1511,M1511)</f>
        <v>6000</v>
      </c>
      <c r="O1511" s="640">
        <f t="shared" si="232"/>
        <v>0</v>
      </c>
      <c r="P1511" s="405"/>
      <c r="Q1511" s="635">
        <f t="shared" si="233"/>
        <v>0</v>
      </c>
    </row>
    <row r="1512" spans="1:20" ht="54.75" customHeight="1">
      <c r="A1512" s="273"/>
      <c r="B1512" s="481" t="s">
        <v>1191</v>
      </c>
      <c r="C1512" s="490" t="s">
        <v>1228</v>
      </c>
      <c r="D1512" s="483">
        <v>8100</v>
      </c>
      <c r="E1512" s="484">
        <v>108288</v>
      </c>
      <c r="F1512" s="526" t="s">
        <v>169</v>
      </c>
      <c r="G1512" s="488" t="s">
        <v>910</v>
      </c>
      <c r="H1512" s="491">
        <v>1</v>
      </c>
      <c r="I1512" s="473">
        <f>INT(L1512*$Q$139)</f>
        <v>0</v>
      </c>
      <c r="J1512" s="473">
        <f>INT(M1512*$R$139)</f>
        <v>6345</v>
      </c>
      <c r="K1512" s="473">
        <f>SUM(I1512:J1512)</f>
        <v>6345</v>
      </c>
      <c r="L1512" s="167"/>
      <c r="M1512" s="167">
        <v>6345</v>
      </c>
      <c r="N1512" s="167">
        <f>SUM(L1512,M1512)</f>
        <v>6345</v>
      </c>
      <c r="O1512" s="640">
        <f t="shared" ref="O1512:O1575" si="240">(J1512/100)*40</f>
        <v>2538</v>
      </c>
      <c r="P1512" s="405"/>
      <c r="Q1512" s="635">
        <f t="shared" ref="Q1512:Q1575" si="241">($Q$932*J1512)/100</f>
        <v>2538</v>
      </c>
    </row>
    <row r="1513" spans="1:20" s="510" customFormat="1" ht="72" hidden="1" customHeight="1">
      <c r="A1513" s="501"/>
      <c r="B1513" s="502"/>
      <c r="C1513" s="503" t="s">
        <v>141</v>
      </c>
      <c r="D1513" s="504"/>
      <c r="E1513" s="505"/>
      <c r="F1513" s="504"/>
      <c r="G1513" s="504"/>
      <c r="H1513" s="504"/>
      <c r="I1513" s="506">
        <f>SUM(I1514)</f>
        <v>266012</v>
      </c>
      <c r="J1513" s="506">
        <f>SUM(J1514)</f>
        <v>0</v>
      </c>
      <c r="K1513" s="506">
        <f>I1513+J1513</f>
        <v>266012</v>
      </c>
      <c r="L1513" s="507">
        <f>SUM(L1514)</f>
        <v>266012</v>
      </c>
      <c r="M1513" s="507">
        <f>SUM(M1514)</f>
        <v>0</v>
      </c>
      <c r="N1513" s="507">
        <f>L1513+M1513</f>
        <v>266012</v>
      </c>
      <c r="O1513" s="640">
        <f t="shared" si="240"/>
        <v>0</v>
      </c>
      <c r="P1513" s="508"/>
      <c r="Q1513" s="635">
        <f t="shared" si="241"/>
        <v>0</v>
      </c>
      <c r="R1513" s="508"/>
      <c r="S1513" s="508"/>
      <c r="T1513" s="509"/>
    </row>
    <row r="1514" spans="1:20" ht="54.75" hidden="1" customHeight="1">
      <c r="A1514" s="273" t="s">
        <v>248</v>
      </c>
      <c r="B1514" s="481" t="s">
        <v>1173</v>
      </c>
      <c r="C1514" s="490" t="s">
        <v>317</v>
      </c>
      <c r="D1514" s="483">
        <v>8100</v>
      </c>
      <c r="E1514" s="484">
        <v>108288</v>
      </c>
      <c r="F1514" s="526" t="s">
        <v>169</v>
      </c>
      <c r="G1514" s="488" t="s">
        <v>143</v>
      </c>
      <c r="H1514" s="489">
        <v>2041</v>
      </c>
      <c r="I1514" s="473">
        <f>INT(L1514*$Q$139)</f>
        <v>266012</v>
      </c>
      <c r="J1514" s="473">
        <f>INT(M1514*$R$139)</f>
        <v>0</v>
      </c>
      <c r="K1514" s="473">
        <f>SUM(I1514:J1514)</f>
        <v>266012</v>
      </c>
      <c r="L1514" s="167">
        <v>266012</v>
      </c>
      <c r="M1514" s="167"/>
      <c r="N1514" s="167">
        <f>SUM(L1514,M1514)</f>
        <v>266012</v>
      </c>
      <c r="O1514" s="640">
        <f t="shared" si="240"/>
        <v>0</v>
      </c>
      <c r="P1514" s="405"/>
      <c r="Q1514" s="635">
        <f t="shared" si="241"/>
        <v>0</v>
      </c>
    </row>
    <row r="1515" spans="1:20" s="510" customFormat="1" ht="72" hidden="1" customHeight="1">
      <c r="A1515" s="501"/>
      <c r="B1515" s="502"/>
      <c r="C1515" s="503" t="s">
        <v>310</v>
      </c>
      <c r="D1515" s="504"/>
      <c r="E1515" s="505"/>
      <c r="F1515" s="504"/>
      <c r="G1515" s="504"/>
      <c r="H1515" s="504"/>
      <c r="I1515" s="506">
        <f>SUM(I1516:I1517)</f>
        <v>12681</v>
      </c>
      <c r="J1515" s="506">
        <f>SUM(J1516:J1517)</f>
        <v>14031</v>
      </c>
      <c r="K1515" s="506">
        <f>I1515+J1515</f>
        <v>26712</v>
      </c>
      <c r="L1515" s="507">
        <f>SUM(L1516:L1517)</f>
        <v>12681</v>
      </c>
      <c r="M1515" s="507">
        <f>SUM(M1516:M1517)</f>
        <v>14031</v>
      </c>
      <c r="N1515" s="507">
        <f>L1515+M1515</f>
        <v>26712</v>
      </c>
      <c r="O1515" s="640">
        <f t="shared" si="240"/>
        <v>5612.4</v>
      </c>
      <c r="P1515" s="508"/>
      <c r="Q1515" s="635">
        <f t="shared" si="241"/>
        <v>5612.4</v>
      </c>
      <c r="R1515" s="508"/>
      <c r="S1515" s="508"/>
      <c r="T1515" s="509"/>
    </row>
    <row r="1516" spans="1:20" ht="54.75" customHeight="1">
      <c r="A1516" s="273" t="s">
        <v>247</v>
      </c>
      <c r="B1516" s="481" t="s">
        <v>1027</v>
      </c>
      <c r="C1516" s="490" t="s">
        <v>681</v>
      </c>
      <c r="D1516" s="483">
        <v>8100</v>
      </c>
      <c r="E1516" s="484">
        <v>108288</v>
      </c>
      <c r="F1516" s="526" t="s">
        <v>169</v>
      </c>
      <c r="G1516" s="488" t="s">
        <v>79</v>
      </c>
      <c r="H1516" s="489">
        <v>1</v>
      </c>
      <c r="I1516" s="473">
        <f>INT(L1516*$Q$139)</f>
        <v>12681</v>
      </c>
      <c r="J1516" s="473">
        <f>INT(M1516*$R$139)</f>
        <v>14031</v>
      </c>
      <c r="K1516" s="473">
        <f>SUM(I1516:J1516)</f>
        <v>26712</v>
      </c>
      <c r="L1516" s="167">
        <v>12681</v>
      </c>
      <c r="M1516" s="167">
        <v>14031</v>
      </c>
      <c r="N1516" s="167">
        <f>SUM(L1516,M1516)</f>
        <v>26712</v>
      </c>
      <c r="O1516" s="640">
        <f t="shared" si="240"/>
        <v>5612.4</v>
      </c>
      <c r="P1516" s="405"/>
      <c r="Q1516" s="635">
        <f t="shared" si="241"/>
        <v>5612.4</v>
      </c>
    </row>
    <row r="1517" spans="1:20" ht="54.75" hidden="1" customHeight="1">
      <c r="A1517" s="273"/>
      <c r="B1517" s="481" t="s">
        <v>1186</v>
      </c>
      <c r="C1517" s="490" t="s">
        <v>1074</v>
      </c>
      <c r="D1517" s="483">
        <v>112</v>
      </c>
      <c r="E1517" s="484">
        <v>108288</v>
      </c>
      <c r="F1517" s="526" t="s">
        <v>169</v>
      </c>
      <c r="G1517" s="488" t="s">
        <v>1075</v>
      </c>
      <c r="H1517" s="489"/>
      <c r="I1517" s="473">
        <f>INT(L1517*$Q$139)</f>
        <v>0</v>
      </c>
      <c r="J1517" s="473">
        <f>INT(M1517*$R$139)</f>
        <v>0</v>
      </c>
      <c r="K1517" s="473">
        <f>SUM(I1517:J1517)</f>
        <v>0</v>
      </c>
      <c r="L1517" s="167"/>
      <c r="M1517" s="167"/>
      <c r="N1517" s="167">
        <f>L1517+M1517</f>
        <v>0</v>
      </c>
      <c r="O1517" s="640">
        <f t="shared" si="240"/>
        <v>0</v>
      </c>
      <c r="P1517" s="405"/>
      <c r="Q1517" s="635">
        <f t="shared" si="241"/>
        <v>0</v>
      </c>
    </row>
    <row r="1518" spans="1:20" s="510" customFormat="1" ht="72" hidden="1" customHeight="1">
      <c r="A1518" s="501"/>
      <c r="B1518" s="502"/>
      <c r="C1518" s="503" t="s">
        <v>278</v>
      </c>
      <c r="D1518" s="504"/>
      <c r="E1518" s="505"/>
      <c r="F1518" s="504"/>
      <c r="G1518" s="504"/>
      <c r="H1518" s="504"/>
      <c r="I1518" s="506">
        <f>SUM(I1519)</f>
        <v>17000</v>
      </c>
      <c r="J1518" s="506">
        <f>SUM(J1519)</f>
        <v>0</v>
      </c>
      <c r="K1518" s="506">
        <f>I1518+J1518</f>
        <v>17000</v>
      </c>
      <c r="L1518" s="507">
        <f>SUM(L1519)</f>
        <v>17000</v>
      </c>
      <c r="M1518" s="507">
        <f>SUM(M1519)</f>
        <v>0</v>
      </c>
      <c r="N1518" s="507">
        <f>L1518+M1518</f>
        <v>17000</v>
      </c>
      <c r="O1518" s="640">
        <f t="shared" si="240"/>
        <v>0</v>
      </c>
      <c r="P1518" s="508"/>
      <c r="Q1518" s="635">
        <f t="shared" si="241"/>
        <v>0</v>
      </c>
      <c r="R1518" s="508"/>
      <c r="S1518" s="508"/>
      <c r="T1518" s="509"/>
    </row>
    <row r="1519" spans="1:20" ht="54.75" hidden="1" customHeight="1">
      <c r="A1519" s="273" t="s">
        <v>336</v>
      </c>
      <c r="B1519" s="481" t="s">
        <v>1031</v>
      </c>
      <c r="C1519" s="490" t="s">
        <v>319</v>
      </c>
      <c r="D1519" s="483">
        <v>8100</v>
      </c>
      <c r="E1519" s="484">
        <v>87093</v>
      </c>
      <c r="F1519" s="526" t="s">
        <v>169</v>
      </c>
      <c r="G1519" s="488" t="s">
        <v>18</v>
      </c>
      <c r="H1519" s="491">
        <v>1</v>
      </c>
      <c r="I1519" s="473">
        <f>INT(L1519*$Q$139)</f>
        <v>17000</v>
      </c>
      <c r="J1519" s="473">
        <f>INT(M1519*$R$139)</f>
        <v>0</v>
      </c>
      <c r="K1519" s="473">
        <f>SUM(I1519:J1519)</f>
        <v>17000</v>
      </c>
      <c r="L1519" s="167">
        <v>17000</v>
      </c>
      <c r="M1519" s="167"/>
      <c r="N1519" s="167">
        <f>SUM(L1519,M1519)</f>
        <v>17000</v>
      </c>
      <c r="O1519" s="640">
        <f t="shared" si="240"/>
        <v>0</v>
      </c>
      <c r="P1519" s="405"/>
      <c r="Q1519" s="635">
        <f t="shared" si="241"/>
        <v>0</v>
      </c>
    </row>
    <row r="1520" spans="1:20" ht="41.25" hidden="1" customHeight="1">
      <c r="A1520" s="149"/>
      <c r="B1520" s="434"/>
      <c r="C1520" s="143" t="s">
        <v>274</v>
      </c>
      <c r="D1520" s="144"/>
      <c r="E1520" s="144"/>
      <c r="F1520" s="137"/>
      <c r="G1520" s="143"/>
      <c r="H1520" s="135"/>
      <c r="I1520" s="391">
        <f t="shared" ref="I1520:N1520" si="242">SUM(I1521:I1523)</f>
        <v>0</v>
      </c>
      <c r="J1520" s="391">
        <f t="shared" si="242"/>
        <v>0</v>
      </c>
      <c r="K1520" s="391">
        <f t="shared" si="242"/>
        <v>0</v>
      </c>
      <c r="L1520" s="391">
        <f t="shared" si="242"/>
        <v>0</v>
      </c>
      <c r="M1520" s="391">
        <f t="shared" si="242"/>
        <v>0</v>
      </c>
      <c r="N1520" s="391">
        <f t="shared" si="242"/>
        <v>0</v>
      </c>
      <c r="O1520" s="640">
        <f t="shared" si="240"/>
        <v>0</v>
      </c>
      <c r="Q1520" s="635">
        <f t="shared" si="241"/>
        <v>0</v>
      </c>
    </row>
    <row r="1521" spans="1:20" ht="48.75" hidden="1" customHeight="1">
      <c r="A1521" s="35" t="s">
        <v>439</v>
      </c>
      <c r="B1521" s="443" t="s">
        <v>835</v>
      </c>
      <c r="C1521" s="183" t="s">
        <v>681</v>
      </c>
      <c r="D1521" s="228">
        <v>112</v>
      </c>
      <c r="E1521" s="229" t="s">
        <v>795</v>
      </c>
      <c r="F1521" s="230" t="s">
        <v>169</v>
      </c>
      <c r="G1521" s="237" t="s">
        <v>725</v>
      </c>
      <c r="H1521" s="251">
        <v>1</v>
      </c>
      <c r="I1521" s="388">
        <f>INT(L1521*$Q$139)</f>
        <v>0</v>
      </c>
      <c r="J1521" s="388">
        <f>INT(M1521*$R$139)</f>
        <v>0</v>
      </c>
      <c r="K1521" s="388">
        <f>SUM(I1521:J1521)</f>
        <v>0</v>
      </c>
      <c r="L1521" s="167"/>
      <c r="M1521" s="330"/>
      <c r="N1521" s="167">
        <f>SUM(L1521,M1521)</f>
        <v>0</v>
      </c>
      <c r="O1521" s="640">
        <f t="shared" si="240"/>
        <v>0</v>
      </c>
      <c r="Q1521" s="635">
        <f t="shared" si="241"/>
        <v>0</v>
      </c>
    </row>
    <row r="1522" spans="1:20" ht="48.75" hidden="1" customHeight="1">
      <c r="A1522" s="35" t="s">
        <v>439</v>
      </c>
      <c r="B1522" s="443" t="s">
        <v>837</v>
      </c>
      <c r="C1522" s="241" t="s">
        <v>316</v>
      </c>
      <c r="D1522" s="228">
        <v>112</v>
      </c>
      <c r="E1522" s="229" t="s">
        <v>795</v>
      </c>
      <c r="F1522" s="230" t="s">
        <v>169</v>
      </c>
      <c r="G1522" s="242" t="s">
        <v>315</v>
      </c>
      <c r="H1522" s="251">
        <v>1</v>
      </c>
      <c r="I1522" s="388">
        <f>INT(L1522*$Q$139)</f>
        <v>0</v>
      </c>
      <c r="J1522" s="388">
        <f>INT(M1522*$R$139)</f>
        <v>0</v>
      </c>
      <c r="K1522" s="388">
        <f>SUM(I1522:J1522)</f>
        <v>0</v>
      </c>
      <c r="L1522" s="167"/>
      <c r="M1522" s="331"/>
      <c r="N1522" s="167">
        <f>SUM(L1522,M1522)</f>
        <v>0</v>
      </c>
      <c r="O1522" s="640">
        <f t="shared" si="240"/>
        <v>0</v>
      </c>
      <c r="Q1522" s="635">
        <f t="shared" si="241"/>
        <v>0</v>
      </c>
    </row>
    <row r="1523" spans="1:20" ht="48.75" hidden="1" customHeight="1">
      <c r="A1523" s="35"/>
      <c r="B1523" s="443" t="s">
        <v>839</v>
      </c>
      <c r="C1523" s="183" t="s">
        <v>826</v>
      </c>
      <c r="D1523" s="228">
        <v>112</v>
      </c>
      <c r="E1523" s="229" t="s">
        <v>795</v>
      </c>
      <c r="F1523" s="230" t="s">
        <v>169</v>
      </c>
      <c r="G1523" s="248" t="s">
        <v>159</v>
      </c>
      <c r="H1523" s="231">
        <v>1</v>
      </c>
      <c r="I1523" s="388">
        <f>INT(L1523*$Q$139)</f>
        <v>0</v>
      </c>
      <c r="J1523" s="388">
        <f>INT(M1523*$R$139)</f>
        <v>0</v>
      </c>
      <c r="K1523" s="388">
        <f>SUM(I1523:J1523)</f>
        <v>0</v>
      </c>
      <c r="L1523" s="167"/>
      <c r="M1523" s="331"/>
      <c r="N1523" s="167">
        <f>SUM(L1523,M1523)</f>
        <v>0</v>
      </c>
      <c r="O1523" s="640">
        <f t="shared" si="240"/>
        <v>0</v>
      </c>
      <c r="Q1523" s="635">
        <f t="shared" si="241"/>
        <v>0</v>
      </c>
    </row>
    <row r="1524" spans="1:20" s="510" customFormat="1" ht="72" hidden="1" customHeight="1">
      <c r="A1524" s="501"/>
      <c r="B1524" s="502"/>
      <c r="C1524" s="503" t="s">
        <v>312</v>
      </c>
      <c r="D1524" s="504"/>
      <c r="E1524" s="505"/>
      <c r="F1524" s="504"/>
      <c r="G1524" s="504"/>
      <c r="H1524" s="504"/>
      <c r="I1524" s="506">
        <f>SUM(I1525:I1526)</f>
        <v>8720</v>
      </c>
      <c r="J1524" s="506">
        <f>SUM(J1525:J1526)</f>
        <v>12683</v>
      </c>
      <c r="K1524" s="506">
        <f>I1524+J1524</f>
        <v>21403</v>
      </c>
      <c r="L1524" s="507">
        <f>SUM(L1525:L1526)</f>
        <v>8720</v>
      </c>
      <c r="M1524" s="507">
        <f>SUM(M1525:M1526)</f>
        <v>12683</v>
      </c>
      <c r="N1524" s="507">
        <f>L1524+M1524</f>
        <v>21403</v>
      </c>
      <c r="O1524" s="640">
        <f t="shared" si="240"/>
        <v>5073.2</v>
      </c>
      <c r="P1524" s="508"/>
      <c r="Q1524" s="635">
        <f t="shared" si="241"/>
        <v>5073.2</v>
      </c>
      <c r="R1524" s="508"/>
      <c r="S1524" s="508"/>
      <c r="T1524" s="509"/>
    </row>
    <row r="1525" spans="1:20" ht="54.75" customHeight="1">
      <c r="A1525" s="273" t="s">
        <v>439</v>
      </c>
      <c r="B1525" s="481" t="s">
        <v>1030</v>
      </c>
      <c r="C1525" s="490" t="s">
        <v>316</v>
      </c>
      <c r="D1525" s="483">
        <v>8100</v>
      </c>
      <c r="E1525" s="484">
        <v>108288</v>
      </c>
      <c r="F1525" s="526" t="s">
        <v>169</v>
      </c>
      <c r="G1525" s="488" t="s">
        <v>315</v>
      </c>
      <c r="H1525" s="489">
        <v>1</v>
      </c>
      <c r="I1525" s="473">
        <f>INT(L1525*$Q$139)</f>
        <v>8720</v>
      </c>
      <c r="J1525" s="473">
        <f>INT(M1525*$R$139)</f>
        <v>12683</v>
      </c>
      <c r="K1525" s="473">
        <f>SUM(I1525:J1525)</f>
        <v>21403</v>
      </c>
      <c r="L1525" s="167">
        <v>8720</v>
      </c>
      <c r="M1525" s="167">
        <v>12683</v>
      </c>
      <c r="N1525" s="167">
        <f>SUM(L1525,M1525)</f>
        <v>21403</v>
      </c>
      <c r="O1525" s="640">
        <f t="shared" si="240"/>
        <v>5073.2</v>
      </c>
      <c r="P1525" s="405"/>
      <c r="Q1525" s="635">
        <f t="shared" si="241"/>
        <v>5073.2</v>
      </c>
    </row>
    <row r="1526" spans="1:20" ht="54.75" hidden="1" customHeight="1">
      <c r="A1526" s="273"/>
      <c r="B1526" s="481" t="s">
        <v>1188</v>
      </c>
      <c r="C1526" s="490" t="s">
        <v>1074</v>
      </c>
      <c r="D1526" s="483">
        <v>112</v>
      </c>
      <c r="E1526" s="484">
        <v>108288</v>
      </c>
      <c r="F1526" s="526" t="s">
        <v>169</v>
      </c>
      <c r="G1526" s="488" t="s">
        <v>1075</v>
      </c>
      <c r="H1526" s="489"/>
      <c r="I1526" s="473">
        <f>INT(L1526*$Q$139)</f>
        <v>0</v>
      </c>
      <c r="J1526" s="473">
        <f>INT(M1526*$R$139)</f>
        <v>0</v>
      </c>
      <c r="K1526" s="473">
        <f>SUM(I1526:J1526)</f>
        <v>0</v>
      </c>
      <c r="L1526" s="167"/>
      <c r="M1526" s="167"/>
      <c r="N1526" s="167">
        <f>L1526+M1526</f>
        <v>0</v>
      </c>
      <c r="O1526" s="640">
        <f t="shared" si="240"/>
        <v>0</v>
      </c>
      <c r="P1526" s="405"/>
      <c r="Q1526" s="635">
        <f t="shared" si="241"/>
        <v>0</v>
      </c>
    </row>
    <row r="1527" spans="1:20" ht="67.5" hidden="1" customHeight="1">
      <c r="A1527" s="25"/>
      <c r="B1527" s="1287" t="s">
        <v>1276</v>
      </c>
      <c r="C1527" s="1287"/>
      <c r="D1527" s="1287"/>
      <c r="E1527" s="1287"/>
      <c r="F1527" s="1287"/>
      <c r="G1527" s="1287"/>
      <c r="H1527" s="1287"/>
      <c r="I1527" s="1287"/>
      <c r="J1527" s="1287"/>
      <c r="K1527" s="1287"/>
      <c r="L1527" s="338"/>
      <c r="M1527" s="338"/>
      <c r="N1527" s="338"/>
      <c r="O1527" s="640">
        <f t="shared" si="240"/>
        <v>0</v>
      </c>
      <c r="Q1527" s="635">
        <f t="shared" si="241"/>
        <v>0</v>
      </c>
    </row>
    <row r="1528" spans="1:20" ht="17.100000000000001" hidden="1" customHeight="1">
      <c r="A1528" s="118"/>
      <c r="B1528" s="118"/>
      <c r="C1528" s="119"/>
      <c r="D1528" s="119"/>
      <c r="E1528" s="119"/>
      <c r="F1528" s="120"/>
      <c r="G1528" s="121"/>
      <c r="H1528" s="122"/>
      <c r="I1528" s="122"/>
      <c r="J1528" s="122"/>
      <c r="K1528" s="122"/>
      <c r="L1528" s="123"/>
      <c r="M1528" s="124"/>
      <c r="N1528" s="124"/>
      <c r="O1528" s="640">
        <f t="shared" si="240"/>
        <v>0</v>
      </c>
      <c r="Q1528" s="635">
        <f t="shared" si="241"/>
        <v>0</v>
      </c>
    </row>
    <row r="1529" spans="1:20" ht="17.100000000000001" hidden="1" customHeight="1">
      <c r="A1529" s="118"/>
      <c r="B1529" s="118"/>
      <c r="C1529" s="119"/>
      <c r="D1529" s="119"/>
      <c r="E1529" s="119"/>
      <c r="F1529" s="120"/>
      <c r="G1529" s="121"/>
      <c r="H1529" s="122"/>
      <c r="I1529" s="122"/>
      <c r="J1529" s="122"/>
      <c r="K1529" s="122"/>
      <c r="L1529" s="123"/>
      <c r="M1529" s="124"/>
      <c r="N1529" s="124"/>
      <c r="O1529" s="640">
        <f t="shared" si="240"/>
        <v>0</v>
      </c>
      <c r="P1529" s="27"/>
      <c r="Q1529" s="635">
        <f t="shared" si="241"/>
        <v>0</v>
      </c>
      <c r="R1529" s="27"/>
      <c r="S1529" s="27"/>
      <c r="T1529" s="27"/>
    </row>
    <row r="1530" spans="1:20" ht="17.100000000000001" hidden="1" customHeight="1">
      <c r="A1530" s="118"/>
      <c r="B1530" s="118"/>
      <c r="C1530" s="119"/>
      <c r="D1530" s="119"/>
      <c r="E1530" s="119"/>
      <c r="F1530" s="120"/>
      <c r="G1530" s="121"/>
      <c r="H1530" s="122"/>
      <c r="I1530" s="122"/>
      <c r="J1530" s="122"/>
      <c r="K1530" s="122"/>
      <c r="L1530" s="123"/>
      <c r="M1530" s="124"/>
      <c r="N1530" s="124"/>
      <c r="O1530" s="640">
        <f t="shared" si="240"/>
        <v>0</v>
      </c>
      <c r="P1530" s="27"/>
      <c r="Q1530" s="635">
        <f t="shared" si="241"/>
        <v>0</v>
      </c>
      <c r="R1530" s="27"/>
      <c r="S1530" s="27"/>
      <c r="T1530" s="27"/>
    </row>
    <row r="1531" spans="1:20" ht="21.95" hidden="1" customHeight="1" thickBot="1">
      <c r="O1531" s="640">
        <f t="shared" si="240"/>
        <v>0</v>
      </c>
      <c r="P1531" s="27"/>
      <c r="Q1531" s="635">
        <f t="shared" si="241"/>
        <v>0</v>
      </c>
      <c r="R1531" s="27"/>
      <c r="S1531" s="27"/>
      <c r="T1531" s="27"/>
    </row>
    <row r="1532" spans="1:20" ht="31.5" hidden="1" customHeight="1">
      <c r="C1532" s="1204" t="s">
        <v>51</v>
      </c>
      <c r="D1532" s="1204"/>
      <c r="E1532" s="1204"/>
      <c r="F1532" s="1204"/>
      <c r="H1532" s="1243" t="s">
        <v>11</v>
      </c>
      <c r="I1532" s="1244"/>
      <c r="J1532" s="1244"/>
      <c r="K1532" s="1245"/>
      <c r="L1532" s="337"/>
      <c r="M1532" s="337"/>
      <c r="N1532" s="337"/>
      <c r="O1532" s="640">
        <f t="shared" si="240"/>
        <v>0</v>
      </c>
      <c r="P1532" s="27"/>
      <c r="Q1532" s="635">
        <f t="shared" si="241"/>
        <v>0</v>
      </c>
      <c r="R1532" s="27"/>
      <c r="S1532" s="27"/>
      <c r="T1532" s="27"/>
    </row>
    <row r="1533" spans="1:20" ht="31.5" hidden="1" customHeight="1">
      <c r="C1533" s="1204" t="s">
        <v>52</v>
      </c>
      <c r="D1533" s="1204"/>
      <c r="E1533" s="1204"/>
      <c r="F1533" s="1204"/>
      <c r="H1533" s="1208" t="s">
        <v>21</v>
      </c>
      <c r="I1533" s="1209"/>
      <c r="J1533" s="1209"/>
      <c r="K1533" s="1210"/>
      <c r="L1533" s="336"/>
      <c r="M1533" s="336"/>
      <c r="N1533" s="336"/>
      <c r="O1533" s="640">
        <f t="shared" si="240"/>
        <v>0</v>
      </c>
      <c r="P1533" s="27"/>
      <c r="Q1533" s="635">
        <f t="shared" si="241"/>
        <v>0</v>
      </c>
      <c r="R1533" s="27"/>
      <c r="S1533" s="27"/>
      <c r="T1533" s="27"/>
    </row>
    <row r="1534" spans="1:20" ht="31.5" hidden="1" customHeight="1">
      <c r="C1534" s="1204" t="s">
        <v>50</v>
      </c>
      <c r="D1534" s="1204"/>
      <c r="E1534" s="1204"/>
      <c r="F1534" s="1204"/>
      <c r="H1534" s="1211"/>
      <c r="I1534" s="1212"/>
      <c r="J1534" s="1212"/>
      <c r="K1534" s="1213"/>
      <c r="L1534" s="336"/>
      <c r="M1534" s="336"/>
      <c r="N1534" s="336"/>
      <c r="O1534" s="640">
        <f t="shared" si="240"/>
        <v>0</v>
      </c>
      <c r="P1534" s="27"/>
      <c r="Q1534" s="635">
        <f t="shared" si="241"/>
        <v>0</v>
      </c>
      <c r="R1534" s="27"/>
      <c r="S1534" s="27"/>
      <c r="T1534" s="27"/>
    </row>
    <row r="1535" spans="1:20" ht="39.950000000000003" hidden="1" customHeight="1">
      <c r="C1535" s="1252"/>
      <c r="D1535" s="1252"/>
      <c r="E1535" s="1252"/>
      <c r="F1535" s="1252"/>
      <c r="G1535" s="44"/>
      <c r="H1535" s="1211" t="s">
        <v>22</v>
      </c>
      <c r="I1535" s="1212"/>
      <c r="J1535" s="1212"/>
      <c r="K1535" s="477">
        <f>K1565</f>
        <v>14317270</v>
      </c>
      <c r="L1535" s="336"/>
      <c r="M1535" s="336"/>
      <c r="N1535" s="86"/>
      <c r="O1535" s="640">
        <f t="shared" si="240"/>
        <v>0</v>
      </c>
      <c r="P1535" s="27"/>
      <c r="Q1535" s="635">
        <f t="shared" si="241"/>
        <v>0</v>
      </c>
      <c r="R1535" s="27"/>
      <c r="S1535" s="27"/>
      <c r="T1535" s="27"/>
    </row>
    <row r="1536" spans="1:20" ht="66.75" hidden="1" customHeight="1" thickBot="1">
      <c r="A1536" s="75"/>
      <c r="B1536" s="75"/>
      <c r="C1536" s="65"/>
      <c r="D1536" s="65"/>
      <c r="E1536" s="65"/>
      <c r="F1536" s="10"/>
      <c r="G1536" s="10"/>
      <c r="H1536" s="1283" t="s">
        <v>13</v>
      </c>
      <c r="I1536" s="1284"/>
      <c r="J1536" s="1284"/>
      <c r="K1536" s="1285"/>
      <c r="L1536" s="336"/>
      <c r="M1536" s="336"/>
      <c r="N1536" s="336"/>
      <c r="O1536" s="640">
        <f t="shared" si="240"/>
        <v>0</v>
      </c>
      <c r="P1536" s="27"/>
      <c r="Q1536" s="635">
        <f t="shared" si="241"/>
        <v>0</v>
      </c>
      <c r="R1536" s="27"/>
      <c r="S1536" s="27"/>
      <c r="T1536" s="27"/>
    </row>
    <row r="1537" spans="1:20" ht="17.100000000000001" hidden="1" customHeight="1">
      <c r="A1537" s="75"/>
      <c r="B1537" s="75"/>
      <c r="C1537" s="65"/>
      <c r="D1537" s="65"/>
      <c r="E1537" s="65"/>
      <c r="F1537" s="10"/>
      <c r="G1537" s="10"/>
      <c r="H1537" s="20"/>
      <c r="I1537" s="20"/>
      <c r="J1537" s="20"/>
      <c r="K1537" s="20"/>
      <c r="L1537" s="20"/>
      <c r="M1537" s="20"/>
      <c r="N1537" s="20"/>
      <c r="O1537" s="640">
        <f t="shared" si="240"/>
        <v>0</v>
      </c>
      <c r="P1537" s="27"/>
      <c r="Q1537" s="635">
        <f t="shared" si="241"/>
        <v>0</v>
      </c>
      <c r="R1537" s="27"/>
      <c r="S1537" s="27"/>
      <c r="T1537" s="27"/>
    </row>
    <row r="1538" spans="1:20" ht="30" hidden="1" customHeight="1">
      <c r="A1538" s="75"/>
      <c r="B1538" s="75"/>
      <c r="C1538" s="65"/>
      <c r="D1538" s="65"/>
      <c r="E1538" s="65"/>
      <c r="F1538" s="10"/>
      <c r="G1538" s="10"/>
      <c r="L1538" s="3"/>
      <c r="M1538" s="3"/>
      <c r="N1538" s="3"/>
      <c r="O1538" s="640">
        <f t="shared" si="240"/>
        <v>0</v>
      </c>
      <c r="P1538" s="27"/>
      <c r="Q1538" s="635">
        <f t="shared" si="241"/>
        <v>0</v>
      </c>
      <c r="R1538" s="27"/>
      <c r="S1538" s="27"/>
      <c r="T1538" s="27"/>
    </row>
    <row r="1539" spans="1:20" ht="39.950000000000003" hidden="1" customHeight="1">
      <c r="A1539" s="346"/>
      <c r="B1539" s="1226" t="s">
        <v>1037</v>
      </c>
      <c r="C1539" s="1226"/>
      <c r="D1539" s="1226"/>
      <c r="E1539" s="1226"/>
      <c r="F1539" s="1226"/>
      <c r="G1539" s="1226"/>
      <c r="H1539" s="1226"/>
      <c r="I1539" s="1226"/>
      <c r="J1539" s="1226"/>
      <c r="K1539" s="1226"/>
      <c r="L1539" s="346"/>
      <c r="M1539" s="346"/>
      <c r="N1539" s="346"/>
      <c r="O1539" s="640">
        <f t="shared" si="240"/>
        <v>0</v>
      </c>
      <c r="P1539" s="27"/>
      <c r="Q1539" s="635">
        <f t="shared" si="241"/>
        <v>0</v>
      </c>
      <c r="R1539" s="27"/>
      <c r="S1539" s="27"/>
      <c r="T1539" s="27"/>
    </row>
    <row r="1540" spans="1:20" ht="17.100000000000001" hidden="1" customHeight="1">
      <c r="A1540" s="46"/>
      <c r="B1540" s="46"/>
      <c r="C1540" s="46"/>
      <c r="D1540" s="46"/>
      <c r="E1540" s="46"/>
      <c r="F1540" s="46"/>
      <c r="G1540" s="46"/>
      <c r="H1540" s="46"/>
      <c r="I1540" s="46"/>
      <c r="J1540" s="46"/>
      <c r="K1540" s="46"/>
      <c r="L1540" s="46"/>
      <c r="M1540" s="46"/>
      <c r="N1540" s="46"/>
      <c r="O1540" s="640">
        <f t="shared" si="240"/>
        <v>0</v>
      </c>
      <c r="P1540" s="27"/>
      <c r="Q1540" s="635">
        <f t="shared" si="241"/>
        <v>0</v>
      </c>
      <c r="R1540" s="27"/>
      <c r="S1540" s="27"/>
      <c r="T1540" s="27"/>
    </row>
    <row r="1541" spans="1:20" s="500" customFormat="1" ht="90" hidden="1">
      <c r="A1541" s="496" t="s">
        <v>14</v>
      </c>
      <c r="B1541" s="497" t="s">
        <v>14</v>
      </c>
      <c r="C1541" s="497" t="s">
        <v>37</v>
      </c>
      <c r="D1541" s="497" t="s">
        <v>440</v>
      </c>
      <c r="E1541" s="497" t="s">
        <v>16</v>
      </c>
      <c r="F1541" s="497" t="s">
        <v>185</v>
      </c>
      <c r="G1541" s="497" t="s">
        <v>178</v>
      </c>
      <c r="H1541" s="497" t="s">
        <v>179</v>
      </c>
      <c r="I1541" s="497" t="s">
        <v>180</v>
      </c>
      <c r="J1541" s="497" t="s">
        <v>1275</v>
      </c>
      <c r="K1541" s="497" t="s">
        <v>200</v>
      </c>
      <c r="L1541" s="496" t="s">
        <v>180</v>
      </c>
      <c r="M1541" s="496" t="s">
        <v>181</v>
      </c>
      <c r="N1541" s="496" t="s">
        <v>200</v>
      </c>
      <c r="O1541" s="640" t="e">
        <f t="shared" si="240"/>
        <v>#VALUE!</v>
      </c>
      <c r="P1541" s="498"/>
      <c r="Q1541" s="635" t="e">
        <f t="shared" si="241"/>
        <v>#VALUE!</v>
      </c>
      <c r="R1541" s="498"/>
      <c r="S1541" s="498"/>
      <c r="T1541" s="499"/>
    </row>
    <row r="1542" spans="1:20" s="579" customFormat="1" ht="46.5" customHeight="1">
      <c r="A1542" s="572"/>
      <c r="B1542" s="572"/>
      <c r="C1542" s="573" t="s">
        <v>165</v>
      </c>
      <c r="D1542" s="574"/>
      <c r="E1542" s="574"/>
      <c r="F1542" s="575" t="s">
        <v>127</v>
      </c>
      <c r="G1542" s="576"/>
      <c r="H1542" s="576"/>
      <c r="I1542" s="577">
        <f>SUM(I1545,I1547,I1550,I1552,I1556,I1543)</f>
        <v>212959</v>
      </c>
      <c r="J1542" s="577">
        <f>SUM(J1545,J1547,J1550,J1552,J1556,J1543)</f>
        <v>10000</v>
      </c>
      <c r="K1542" s="577">
        <f>I1542+J1542</f>
        <v>222959</v>
      </c>
      <c r="L1542" s="578">
        <f>SUM(L1545,L1547,L1550,L1552,L1556,L1543)</f>
        <v>212959</v>
      </c>
      <c r="M1542" s="578">
        <f>SUM(M1545,M1547,M1550,M1552,M1556,M1543)</f>
        <v>10000</v>
      </c>
      <c r="N1542" s="578">
        <f>L1542+M1542</f>
        <v>222959</v>
      </c>
      <c r="O1542" s="644">
        <f t="shared" si="240"/>
        <v>4000</v>
      </c>
      <c r="Q1542" s="635">
        <f t="shared" si="241"/>
        <v>4000</v>
      </c>
    </row>
    <row r="1543" spans="1:20" s="510" customFormat="1" ht="72" hidden="1" customHeight="1">
      <c r="A1543" s="501"/>
      <c r="B1543" s="502"/>
      <c r="C1543" s="503" t="s">
        <v>292</v>
      </c>
      <c r="D1543" s="504"/>
      <c r="E1543" s="505"/>
      <c r="F1543" s="504"/>
      <c r="G1543" s="504"/>
      <c r="H1543" s="504"/>
      <c r="I1543" s="506">
        <f>I1544</f>
        <v>0</v>
      </c>
      <c r="J1543" s="506">
        <f>J1544</f>
        <v>5000</v>
      </c>
      <c r="K1543" s="506">
        <f>I1543+J1543</f>
        <v>5000</v>
      </c>
      <c r="L1543" s="507">
        <f>L1544</f>
        <v>0</v>
      </c>
      <c r="M1543" s="507">
        <f>M1544</f>
        <v>5000</v>
      </c>
      <c r="N1543" s="507">
        <f>L1543+M1543</f>
        <v>5000</v>
      </c>
      <c r="O1543" s="640">
        <f t="shared" si="240"/>
        <v>2000</v>
      </c>
      <c r="P1543" s="508"/>
      <c r="Q1543" s="635">
        <f t="shared" si="241"/>
        <v>2000</v>
      </c>
      <c r="R1543" s="508"/>
      <c r="S1543" s="508"/>
      <c r="T1543" s="509"/>
    </row>
    <row r="1544" spans="1:20" ht="54.75" customHeight="1">
      <c r="A1544" s="273"/>
      <c r="B1544" s="481" t="s">
        <v>1191</v>
      </c>
      <c r="C1544" s="490" t="s">
        <v>1229</v>
      </c>
      <c r="D1544" s="483">
        <v>8100</v>
      </c>
      <c r="E1544" s="484">
        <v>108288</v>
      </c>
      <c r="F1544" s="526" t="s">
        <v>174</v>
      </c>
      <c r="G1544" s="488" t="s">
        <v>910</v>
      </c>
      <c r="H1544" s="491">
        <v>1</v>
      </c>
      <c r="I1544" s="473">
        <f>INT(L1544*$Q$139)</f>
        <v>0</v>
      </c>
      <c r="J1544" s="473">
        <f>INT(M1544*$R$139)</f>
        <v>5000</v>
      </c>
      <c r="K1544" s="473">
        <f>SUM(I1544:J1544)</f>
        <v>5000</v>
      </c>
      <c r="L1544" s="167"/>
      <c r="M1544" s="167">
        <v>5000</v>
      </c>
      <c r="N1544" s="167">
        <f>SUM(L1544,M1544)</f>
        <v>5000</v>
      </c>
      <c r="O1544" s="640">
        <f t="shared" si="240"/>
        <v>2000</v>
      </c>
      <c r="P1544" s="405"/>
      <c r="Q1544" s="635">
        <f t="shared" si="241"/>
        <v>2000</v>
      </c>
    </row>
    <row r="1545" spans="1:20" s="510" customFormat="1" ht="72" hidden="1" customHeight="1">
      <c r="A1545" s="501"/>
      <c r="B1545" s="502"/>
      <c r="C1545" s="503" t="s">
        <v>141</v>
      </c>
      <c r="D1545" s="504"/>
      <c r="E1545" s="505"/>
      <c r="F1545" s="504"/>
      <c r="G1545" s="504"/>
      <c r="H1545" s="504"/>
      <c r="I1545" s="506">
        <f>SUM(I1546:I1546)</f>
        <v>170452</v>
      </c>
      <c r="J1545" s="506">
        <f>SUM(J1546:J1546)</f>
        <v>0</v>
      </c>
      <c r="K1545" s="506">
        <f>I1545+J1545</f>
        <v>170452</v>
      </c>
      <c r="L1545" s="507">
        <f>SUM(L1546:L1546)</f>
        <v>170452</v>
      </c>
      <c r="M1545" s="507">
        <f>SUM(M1546:M1546)</f>
        <v>0</v>
      </c>
      <c r="N1545" s="507">
        <f>L1545+M1545</f>
        <v>170452</v>
      </c>
      <c r="O1545" s="640">
        <f t="shared" si="240"/>
        <v>0</v>
      </c>
      <c r="P1545" s="508"/>
      <c r="Q1545" s="635">
        <f t="shared" si="241"/>
        <v>0</v>
      </c>
      <c r="R1545" s="508"/>
      <c r="S1545" s="508"/>
      <c r="T1545" s="509"/>
    </row>
    <row r="1546" spans="1:20" ht="54.75" hidden="1" customHeight="1">
      <c r="A1546" s="273" t="s">
        <v>248</v>
      </c>
      <c r="B1546" s="481" t="s">
        <v>1173</v>
      </c>
      <c r="C1546" s="490" t="s">
        <v>317</v>
      </c>
      <c r="D1546" s="483">
        <v>8100</v>
      </c>
      <c r="E1546" s="484">
        <v>108288</v>
      </c>
      <c r="F1546" s="526" t="s">
        <v>174</v>
      </c>
      <c r="G1546" s="488" t="s">
        <v>143</v>
      </c>
      <c r="H1546" s="489">
        <v>1621</v>
      </c>
      <c r="I1546" s="473">
        <f>INT(L1546*$Q$139)</f>
        <v>170452</v>
      </c>
      <c r="J1546" s="473">
        <f>INT(M1546*$R$139)</f>
        <v>0</v>
      </c>
      <c r="K1546" s="473">
        <f>SUM(I1546:J1546)</f>
        <v>170452</v>
      </c>
      <c r="L1546" s="167">
        <v>170452</v>
      </c>
      <c r="M1546" s="167"/>
      <c r="N1546" s="167">
        <f>SUM(L1546,M1546)</f>
        <v>170452</v>
      </c>
      <c r="O1546" s="640">
        <f t="shared" si="240"/>
        <v>0</v>
      </c>
      <c r="P1546" s="405"/>
      <c r="Q1546" s="635">
        <f t="shared" si="241"/>
        <v>0</v>
      </c>
    </row>
    <row r="1547" spans="1:20" s="510" customFormat="1" ht="72" hidden="1" customHeight="1">
      <c r="A1547" s="501"/>
      <c r="B1547" s="502"/>
      <c r="C1547" s="503" t="s">
        <v>310</v>
      </c>
      <c r="D1547" s="504"/>
      <c r="E1547" s="505"/>
      <c r="F1547" s="504"/>
      <c r="G1547" s="504"/>
      <c r="H1547" s="504"/>
      <c r="I1547" s="506">
        <f>SUM(I1548:I1549)</f>
        <v>17649</v>
      </c>
      <c r="J1547" s="506">
        <f>SUM(J1548:J1549)</f>
        <v>2500</v>
      </c>
      <c r="K1547" s="506">
        <f>I1547+J1547</f>
        <v>20149</v>
      </c>
      <c r="L1547" s="507">
        <f>SUM(L1548:L1549)</f>
        <v>17649</v>
      </c>
      <c r="M1547" s="507">
        <f>SUM(M1548:M1549)</f>
        <v>2500</v>
      </c>
      <c r="N1547" s="507">
        <f>L1547+M1547</f>
        <v>20149</v>
      </c>
      <c r="O1547" s="640">
        <f t="shared" si="240"/>
        <v>1000</v>
      </c>
      <c r="P1547" s="508"/>
      <c r="Q1547" s="635">
        <f t="shared" si="241"/>
        <v>1000</v>
      </c>
      <c r="R1547" s="508"/>
      <c r="S1547" s="508"/>
      <c r="T1547" s="509"/>
    </row>
    <row r="1548" spans="1:20" ht="54.75" customHeight="1">
      <c r="A1548" s="273" t="s">
        <v>247</v>
      </c>
      <c r="B1548" s="481" t="s">
        <v>1027</v>
      </c>
      <c r="C1548" s="490" t="s">
        <v>681</v>
      </c>
      <c r="D1548" s="483">
        <v>8100</v>
      </c>
      <c r="E1548" s="484">
        <v>108288</v>
      </c>
      <c r="F1548" s="526" t="s">
        <v>174</v>
      </c>
      <c r="G1548" s="488" t="s">
        <v>725</v>
      </c>
      <c r="H1548" s="489" t="s">
        <v>410</v>
      </c>
      <c r="I1548" s="473">
        <f>INT(L1548*$Q$139)</f>
        <v>17649</v>
      </c>
      <c r="J1548" s="473">
        <f>INT(M1548*$R$139)</f>
        <v>2500</v>
      </c>
      <c r="K1548" s="473">
        <f>SUM(I1548:J1548)</f>
        <v>20149</v>
      </c>
      <c r="L1548" s="167">
        <v>17649</v>
      </c>
      <c r="M1548" s="167">
        <v>2500</v>
      </c>
      <c r="N1548" s="167">
        <f>SUM(L1548,M1548)</f>
        <v>20149</v>
      </c>
      <c r="O1548" s="640">
        <f t="shared" si="240"/>
        <v>1000</v>
      </c>
      <c r="P1548" s="405"/>
      <c r="Q1548" s="635">
        <f t="shared" si="241"/>
        <v>1000</v>
      </c>
    </row>
    <row r="1549" spans="1:20" ht="54.75" hidden="1" customHeight="1">
      <c r="A1549" s="273"/>
      <c r="B1549" s="481" t="s">
        <v>1186</v>
      </c>
      <c r="C1549" s="490" t="s">
        <v>1074</v>
      </c>
      <c r="D1549" s="483">
        <v>112</v>
      </c>
      <c r="E1549" s="484">
        <v>108288</v>
      </c>
      <c r="F1549" s="526" t="s">
        <v>174</v>
      </c>
      <c r="G1549" s="488" t="s">
        <v>1075</v>
      </c>
      <c r="H1549" s="489"/>
      <c r="I1549" s="473">
        <f>INT(L1549*$Q$139)</f>
        <v>0</v>
      </c>
      <c r="J1549" s="473">
        <f>INT(M1549*$R$139)</f>
        <v>0</v>
      </c>
      <c r="K1549" s="473">
        <f>SUM(I1549:J1549)</f>
        <v>0</v>
      </c>
      <c r="L1549" s="167"/>
      <c r="M1549" s="167"/>
      <c r="N1549" s="167">
        <f>L1549+M1549</f>
        <v>0</v>
      </c>
      <c r="O1549" s="640">
        <f t="shared" si="240"/>
        <v>0</v>
      </c>
      <c r="P1549" s="405"/>
      <c r="Q1549" s="635">
        <f t="shared" si="241"/>
        <v>0</v>
      </c>
    </row>
    <row r="1550" spans="1:20" s="510" customFormat="1" ht="72" hidden="1" customHeight="1">
      <c r="A1550" s="501"/>
      <c r="B1550" s="502"/>
      <c r="C1550" s="503" t="s">
        <v>397</v>
      </c>
      <c r="D1550" s="504"/>
      <c r="E1550" s="505"/>
      <c r="F1550" s="504"/>
      <c r="G1550" s="504"/>
      <c r="H1550" s="504"/>
      <c r="I1550" s="506">
        <f>SUM(I1551:I1551)</f>
        <v>9030</v>
      </c>
      <c r="J1550" s="506">
        <f>SUM(J1551:J1551)</f>
        <v>0</v>
      </c>
      <c r="K1550" s="506">
        <f>I1550+J1550</f>
        <v>9030</v>
      </c>
      <c r="L1550" s="507">
        <f>SUM(L1551:L1551)</f>
        <v>9030</v>
      </c>
      <c r="M1550" s="507">
        <f>SUM(M1551:M1551)</f>
        <v>0</v>
      </c>
      <c r="N1550" s="507">
        <f>L1550+M1550</f>
        <v>9030</v>
      </c>
      <c r="O1550" s="640">
        <f t="shared" si="240"/>
        <v>0</v>
      </c>
      <c r="P1550" s="508"/>
      <c r="Q1550" s="635">
        <f t="shared" si="241"/>
        <v>0</v>
      </c>
      <c r="R1550" s="508"/>
      <c r="S1550" s="508"/>
      <c r="T1550" s="509"/>
    </row>
    <row r="1551" spans="1:20" ht="54.75" hidden="1" customHeight="1">
      <c r="A1551" s="273" t="s">
        <v>513</v>
      </c>
      <c r="B1551" s="481" t="s">
        <v>1031</v>
      </c>
      <c r="C1551" s="490" t="s">
        <v>319</v>
      </c>
      <c r="D1551" s="483">
        <v>8100</v>
      </c>
      <c r="E1551" s="484" t="s">
        <v>686</v>
      </c>
      <c r="F1551" s="526" t="s">
        <v>174</v>
      </c>
      <c r="G1551" s="488" t="s">
        <v>18</v>
      </c>
      <c r="H1551" s="489">
        <v>30</v>
      </c>
      <c r="I1551" s="473">
        <f>INT(L1551*$Q$139)</f>
        <v>9030</v>
      </c>
      <c r="J1551" s="473">
        <f>INT(M1551*$R$139)</f>
        <v>0</v>
      </c>
      <c r="K1551" s="473">
        <f>SUM(I1551:J1551)</f>
        <v>9030</v>
      </c>
      <c r="L1551" s="167">
        <v>9030</v>
      </c>
      <c r="M1551" s="167"/>
      <c r="N1551" s="167">
        <f>SUM(L1551,M1551)</f>
        <v>9030</v>
      </c>
      <c r="O1551" s="640">
        <f t="shared" si="240"/>
        <v>0</v>
      </c>
      <c r="P1551" s="405"/>
      <c r="Q1551" s="635">
        <f t="shared" si="241"/>
        <v>0</v>
      </c>
    </row>
    <row r="1552" spans="1:20" ht="41.25" hidden="1" customHeight="1">
      <c r="A1552" s="149"/>
      <c r="B1552" s="434"/>
      <c r="C1552" s="143" t="s">
        <v>274</v>
      </c>
      <c r="D1552" s="144"/>
      <c r="E1552" s="144"/>
      <c r="F1552" s="137"/>
      <c r="G1552" s="143"/>
      <c r="H1552" s="135"/>
      <c r="I1552" s="391">
        <f t="shared" ref="I1552:N1552" si="243">SUM(I1553:I1555)</f>
        <v>0</v>
      </c>
      <c r="J1552" s="391">
        <f t="shared" si="243"/>
        <v>0</v>
      </c>
      <c r="K1552" s="391">
        <f t="shared" si="243"/>
        <v>0</v>
      </c>
      <c r="L1552" s="391">
        <f t="shared" si="243"/>
        <v>0</v>
      </c>
      <c r="M1552" s="391">
        <f t="shared" si="243"/>
        <v>0</v>
      </c>
      <c r="N1552" s="391">
        <f t="shared" si="243"/>
        <v>0</v>
      </c>
      <c r="O1552" s="640">
        <f t="shared" si="240"/>
        <v>0</v>
      </c>
      <c r="Q1552" s="635">
        <f t="shared" si="241"/>
        <v>0</v>
      </c>
    </row>
    <row r="1553" spans="1:20" ht="48.75" hidden="1" customHeight="1">
      <c r="A1553" s="35" t="s">
        <v>439</v>
      </c>
      <c r="B1553" s="443" t="s">
        <v>835</v>
      </c>
      <c r="C1553" s="183" t="s">
        <v>681</v>
      </c>
      <c r="D1553" s="228">
        <v>112</v>
      </c>
      <c r="E1553" s="229" t="s">
        <v>795</v>
      </c>
      <c r="F1553" s="230" t="s">
        <v>174</v>
      </c>
      <c r="G1553" s="237" t="s">
        <v>725</v>
      </c>
      <c r="H1553" s="251">
        <v>1</v>
      </c>
      <c r="I1553" s="388">
        <f>INT(L1553*$Q$139)</f>
        <v>0</v>
      </c>
      <c r="J1553" s="388">
        <f>INT(M1553*$R$139)</f>
        <v>0</v>
      </c>
      <c r="K1553" s="388">
        <f>SUM(I1553:J1553)</f>
        <v>0</v>
      </c>
      <c r="L1553" s="167"/>
      <c r="M1553" s="168"/>
      <c r="N1553" s="167">
        <f>SUM(L1553,M1553)</f>
        <v>0</v>
      </c>
      <c r="O1553" s="640">
        <f t="shared" si="240"/>
        <v>0</v>
      </c>
      <c r="Q1553" s="635">
        <f t="shared" si="241"/>
        <v>0</v>
      </c>
    </row>
    <row r="1554" spans="1:20" ht="48.75" hidden="1" customHeight="1">
      <c r="A1554" s="35" t="s">
        <v>439</v>
      </c>
      <c r="B1554" s="443" t="s">
        <v>837</v>
      </c>
      <c r="C1554" s="241" t="s">
        <v>316</v>
      </c>
      <c r="D1554" s="228">
        <v>112</v>
      </c>
      <c r="E1554" s="229" t="s">
        <v>795</v>
      </c>
      <c r="F1554" s="230" t="s">
        <v>174</v>
      </c>
      <c r="G1554" s="242" t="s">
        <v>315</v>
      </c>
      <c r="H1554" s="251">
        <v>1</v>
      </c>
      <c r="I1554" s="388">
        <f>INT(L1554*$Q$139)</f>
        <v>0</v>
      </c>
      <c r="J1554" s="388">
        <f>INT(M1554*$R$139)</f>
        <v>0</v>
      </c>
      <c r="K1554" s="388">
        <f>SUM(I1554:J1554)</f>
        <v>0</v>
      </c>
      <c r="L1554" s="167"/>
      <c r="M1554" s="167"/>
      <c r="N1554" s="167">
        <f>SUM(L1554,M1554)</f>
        <v>0</v>
      </c>
      <c r="O1554" s="640">
        <f t="shared" si="240"/>
        <v>0</v>
      </c>
      <c r="Q1554" s="635">
        <f t="shared" si="241"/>
        <v>0</v>
      </c>
    </row>
    <row r="1555" spans="1:20" ht="48.75" hidden="1" customHeight="1">
      <c r="A1555" s="35"/>
      <c r="B1555" s="443" t="s">
        <v>839</v>
      </c>
      <c r="C1555" s="183" t="s">
        <v>826</v>
      </c>
      <c r="D1555" s="228">
        <v>112</v>
      </c>
      <c r="E1555" s="229" t="s">
        <v>795</v>
      </c>
      <c r="F1555" s="230" t="s">
        <v>174</v>
      </c>
      <c r="G1555" s="248" t="s">
        <v>159</v>
      </c>
      <c r="H1555" s="231">
        <v>1</v>
      </c>
      <c r="I1555" s="388">
        <f>INT(L1555*$Q$139)</f>
        <v>0</v>
      </c>
      <c r="J1555" s="388">
        <f>INT(M1555*$R$139)</f>
        <v>0</v>
      </c>
      <c r="K1555" s="388">
        <f>SUM(I1555:J1555)</f>
        <v>0</v>
      </c>
      <c r="L1555" s="167"/>
      <c r="M1555" s="168"/>
      <c r="N1555" s="167">
        <f>SUM(L1555,M1555)</f>
        <v>0</v>
      </c>
      <c r="O1555" s="640">
        <f t="shared" si="240"/>
        <v>0</v>
      </c>
      <c r="Q1555" s="635">
        <f t="shared" si="241"/>
        <v>0</v>
      </c>
    </row>
    <row r="1556" spans="1:20" s="510" customFormat="1" ht="72" hidden="1" customHeight="1">
      <c r="A1556" s="501"/>
      <c r="B1556" s="502"/>
      <c r="C1556" s="503" t="s">
        <v>312</v>
      </c>
      <c r="D1556" s="504"/>
      <c r="E1556" s="505"/>
      <c r="F1556" s="504"/>
      <c r="G1556" s="504"/>
      <c r="H1556" s="504"/>
      <c r="I1556" s="506">
        <f>SUM(I1557:I1558)</f>
        <v>15828</v>
      </c>
      <c r="J1556" s="506">
        <f>SUM(J1557:J1558)</f>
        <v>2500</v>
      </c>
      <c r="K1556" s="506">
        <f>I1556+J1556</f>
        <v>18328</v>
      </c>
      <c r="L1556" s="507">
        <f>SUM(L1557:L1558)</f>
        <v>15828</v>
      </c>
      <c r="M1556" s="507">
        <f>SUM(M1557:M1558)</f>
        <v>2500</v>
      </c>
      <c r="N1556" s="507">
        <f>L1556+M1556</f>
        <v>18328</v>
      </c>
      <c r="O1556" s="640">
        <f t="shared" si="240"/>
        <v>1000</v>
      </c>
      <c r="P1556" s="508"/>
      <c r="Q1556" s="635">
        <f t="shared" si="241"/>
        <v>1000</v>
      </c>
      <c r="R1556" s="508"/>
      <c r="S1556" s="508"/>
      <c r="T1556" s="509"/>
    </row>
    <row r="1557" spans="1:20" ht="54.75" customHeight="1">
      <c r="A1557" s="273" t="s">
        <v>439</v>
      </c>
      <c r="B1557" s="481" t="s">
        <v>1030</v>
      </c>
      <c r="C1557" s="490" t="s">
        <v>316</v>
      </c>
      <c r="D1557" s="483">
        <v>8100</v>
      </c>
      <c r="E1557" s="484">
        <v>108288</v>
      </c>
      <c r="F1557" s="526" t="s">
        <v>174</v>
      </c>
      <c r="G1557" s="488" t="s">
        <v>315</v>
      </c>
      <c r="H1557" s="489">
        <v>1</v>
      </c>
      <c r="I1557" s="473">
        <f>INT(L1557*$Q$139)</f>
        <v>15828</v>
      </c>
      <c r="J1557" s="473">
        <f>INT(M1557*$R$139)</f>
        <v>2500</v>
      </c>
      <c r="K1557" s="473">
        <f>SUM(I1557:J1557)</f>
        <v>18328</v>
      </c>
      <c r="L1557" s="167">
        <v>15828</v>
      </c>
      <c r="M1557" s="167">
        <v>2500</v>
      </c>
      <c r="N1557" s="167">
        <f>SUM(L1557,M1557)</f>
        <v>18328</v>
      </c>
      <c r="O1557" s="640">
        <f t="shared" si="240"/>
        <v>1000</v>
      </c>
      <c r="P1557" s="405"/>
      <c r="Q1557" s="635">
        <f t="shared" si="241"/>
        <v>1000</v>
      </c>
    </row>
    <row r="1558" spans="1:20" ht="54.75" hidden="1" customHeight="1">
      <c r="A1558" s="273"/>
      <c r="B1558" s="481" t="s">
        <v>1188</v>
      </c>
      <c r="C1558" s="490" t="s">
        <v>1074</v>
      </c>
      <c r="D1558" s="483">
        <v>112</v>
      </c>
      <c r="E1558" s="484">
        <v>108288</v>
      </c>
      <c r="F1558" s="526" t="s">
        <v>174</v>
      </c>
      <c r="G1558" s="488" t="s">
        <v>1075</v>
      </c>
      <c r="H1558" s="489"/>
      <c r="I1558" s="473">
        <f>INT(L1558*$Q$139)</f>
        <v>0</v>
      </c>
      <c r="J1558" s="473">
        <f>INT(M1558*$R$139)</f>
        <v>0</v>
      </c>
      <c r="K1558" s="473">
        <f>SUM(I1558:J1558)</f>
        <v>0</v>
      </c>
      <c r="L1558" s="167"/>
      <c r="M1558" s="167"/>
      <c r="N1558" s="167">
        <f>L1558+M1558</f>
        <v>0</v>
      </c>
      <c r="O1558" s="640">
        <f t="shared" si="240"/>
        <v>0</v>
      </c>
      <c r="P1558" s="405"/>
      <c r="Q1558" s="635">
        <f t="shared" si="241"/>
        <v>0</v>
      </c>
    </row>
    <row r="1559" spans="1:20" ht="65.25" hidden="1" customHeight="1">
      <c r="B1559" s="1287" t="s">
        <v>1276</v>
      </c>
      <c r="C1559" s="1287"/>
      <c r="D1559" s="1287"/>
      <c r="E1559" s="1287"/>
      <c r="F1559" s="1287"/>
      <c r="G1559" s="1287"/>
      <c r="H1559" s="1287"/>
      <c r="I1559" s="1287"/>
      <c r="J1559" s="1287"/>
      <c r="K1559" s="1287"/>
      <c r="O1559" s="640">
        <f t="shared" si="240"/>
        <v>0</v>
      </c>
      <c r="Q1559" s="635">
        <f t="shared" si="241"/>
        <v>0</v>
      </c>
    </row>
    <row r="1560" spans="1:20" ht="21.95" hidden="1" customHeight="1">
      <c r="O1560" s="640">
        <f t="shared" si="240"/>
        <v>0</v>
      </c>
      <c r="Q1560" s="635">
        <f t="shared" si="241"/>
        <v>0</v>
      </c>
    </row>
    <row r="1561" spans="1:20" ht="21.95" hidden="1" customHeight="1" thickBot="1">
      <c r="O1561" s="640">
        <f t="shared" si="240"/>
        <v>0</v>
      </c>
      <c r="Q1561" s="635">
        <f t="shared" si="241"/>
        <v>0</v>
      </c>
    </row>
    <row r="1562" spans="1:20" ht="29.25" hidden="1" customHeight="1">
      <c r="C1562" s="1204" t="s">
        <v>51</v>
      </c>
      <c r="D1562" s="1204"/>
      <c r="E1562" s="1204"/>
      <c r="F1562" s="1204"/>
      <c r="H1562" s="1243" t="s">
        <v>11</v>
      </c>
      <c r="I1562" s="1244"/>
      <c r="J1562" s="1244"/>
      <c r="K1562" s="1245"/>
      <c r="L1562" s="337"/>
      <c r="M1562" s="337"/>
      <c r="N1562" s="337"/>
      <c r="O1562" s="640">
        <f t="shared" si="240"/>
        <v>0</v>
      </c>
      <c r="Q1562" s="635">
        <f t="shared" si="241"/>
        <v>0</v>
      </c>
    </row>
    <row r="1563" spans="1:20" ht="29.25" hidden="1" customHeight="1">
      <c r="C1563" s="1204" t="s">
        <v>52</v>
      </c>
      <c r="D1563" s="1204"/>
      <c r="E1563" s="1204"/>
      <c r="F1563" s="1204"/>
      <c r="H1563" s="1208" t="s">
        <v>21</v>
      </c>
      <c r="I1563" s="1209"/>
      <c r="J1563" s="1209"/>
      <c r="K1563" s="1210"/>
      <c r="L1563" s="336"/>
      <c r="M1563" s="336"/>
      <c r="N1563" s="336"/>
      <c r="O1563" s="640">
        <f t="shared" si="240"/>
        <v>0</v>
      </c>
      <c r="Q1563" s="635">
        <f t="shared" si="241"/>
        <v>0</v>
      </c>
    </row>
    <row r="1564" spans="1:20" ht="27" hidden="1" customHeight="1">
      <c r="C1564" s="1204" t="s">
        <v>50</v>
      </c>
      <c r="D1564" s="1204"/>
      <c r="E1564" s="1204"/>
      <c r="F1564" s="1204"/>
      <c r="H1564" s="1211"/>
      <c r="I1564" s="1212"/>
      <c r="J1564" s="1212"/>
      <c r="K1564" s="1213"/>
      <c r="L1564" s="336"/>
      <c r="M1564" s="336"/>
      <c r="N1564" s="336"/>
      <c r="O1564" s="640">
        <f t="shared" si="240"/>
        <v>0</v>
      </c>
      <c r="Q1564" s="635">
        <f t="shared" si="241"/>
        <v>0</v>
      </c>
    </row>
    <row r="1565" spans="1:20" s="51" customFormat="1" ht="34.5" hidden="1" customHeight="1">
      <c r="A1565" s="41"/>
      <c r="B1565" s="41"/>
      <c r="C1565" s="1252"/>
      <c r="D1565" s="1252"/>
      <c r="E1565" s="1252"/>
      <c r="F1565" s="1252"/>
      <c r="G1565" s="44"/>
      <c r="H1565" s="1211" t="s">
        <v>22</v>
      </c>
      <c r="I1565" s="1212"/>
      <c r="J1565" s="1212"/>
      <c r="K1565" s="477">
        <f>K1653</f>
        <v>14317270</v>
      </c>
      <c r="L1565" s="336"/>
      <c r="M1565" s="336"/>
      <c r="N1565" s="86"/>
      <c r="O1565" s="640">
        <f t="shared" si="240"/>
        <v>0</v>
      </c>
      <c r="P1565" s="28"/>
      <c r="Q1565" s="635">
        <f t="shared" si="241"/>
        <v>0</v>
      </c>
      <c r="R1565" s="28"/>
      <c r="S1565" s="28"/>
      <c r="T1565" s="29"/>
    </row>
    <row r="1566" spans="1:20" ht="45" hidden="1" customHeight="1" thickBot="1">
      <c r="A1566" s="75"/>
      <c r="B1566" s="75"/>
      <c r="C1566" s="65"/>
      <c r="D1566" s="65"/>
      <c r="E1566" s="65"/>
      <c r="F1566" s="10"/>
      <c r="G1566" s="10"/>
      <c r="H1566" s="1283" t="s">
        <v>13</v>
      </c>
      <c r="I1566" s="1284"/>
      <c r="J1566" s="1284"/>
      <c r="K1566" s="1285"/>
      <c r="L1566" s="336"/>
      <c r="M1566" s="336"/>
      <c r="N1566" s="336"/>
      <c r="O1566" s="640">
        <f t="shared" si="240"/>
        <v>0</v>
      </c>
      <c r="Q1566" s="635">
        <f t="shared" si="241"/>
        <v>0</v>
      </c>
    </row>
    <row r="1567" spans="1:20" ht="45" hidden="1" customHeight="1">
      <c r="A1567" s="75"/>
      <c r="B1567" s="75"/>
      <c r="C1567" s="65"/>
      <c r="D1567" s="65"/>
      <c r="E1567" s="65"/>
      <c r="F1567" s="10"/>
      <c r="G1567" s="10"/>
      <c r="H1567" s="537"/>
      <c r="I1567" s="537"/>
      <c r="J1567" s="537"/>
      <c r="K1567" s="537"/>
      <c r="L1567" s="336"/>
      <c r="M1567" s="336"/>
      <c r="N1567" s="336"/>
      <c r="O1567" s="640">
        <f t="shared" si="240"/>
        <v>0</v>
      </c>
      <c r="Q1567" s="635">
        <f t="shared" si="241"/>
        <v>0</v>
      </c>
    </row>
    <row r="1568" spans="1:20" ht="39.950000000000003" hidden="1" customHeight="1">
      <c r="A1568" s="346"/>
      <c r="B1568" s="1226" t="s">
        <v>1037</v>
      </c>
      <c r="C1568" s="1226"/>
      <c r="D1568" s="1226"/>
      <c r="E1568" s="1226"/>
      <c r="F1568" s="1226"/>
      <c r="G1568" s="1226"/>
      <c r="H1568" s="1226"/>
      <c r="I1568" s="1226"/>
      <c r="J1568" s="1226"/>
      <c r="K1568" s="1226"/>
      <c r="L1568" s="346"/>
      <c r="M1568" s="346"/>
      <c r="N1568" s="346"/>
      <c r="O1568" s="640">
        <f t="shared" si="240"/>
        <v>0</v>
      </c>
      <c r="P1568" s="27"/>
      <c r="Q1568" s="635">
        <f t="shared" si="241"/>
        <v>0</v>
      </c>
      <c r="R1568" s="27"/>
      <c r="S1568" s="27"/>
      <c r="T1568" s="27"/>
    </row>
    <row r="1569" spans="1:20" ht="17.100000000000001" hidden="1" customHeight="1">
      <c r="A1569" s="46"/>
      <c r="B1569" s="46"/>
      <c r="C1569" s="46"/>
      <c r="D1569" s="46"/>
      <c r="E1569" s="46"/>
      <c r="F1569" s="46"/>
      <c r="G1569" s="46"/>
      <c r="H1569" s="46"/>
      <c r="I1569" s="46"/>
      <c r="J1569" s="46"/>
      <c r="K1569" s="46"/>
      <c r="L1569" s="46"/>
      <c r="M1569" s="46"/>
      <c r="N1569" s="46"/>
      <c r="O1569" s="640">
        <f t="shared" si="240"/>
        <v>0</v>
      </c>
      <c r="Q1569" s="635">
        <f t="shared" si="241"/>
        <v>0</v>
      </c>
    </row>
    <row r="1570" spans="1:20" s="500" customFormat="1" ht="90" hidden="1">
      <c r="A1570" s="496" t="s">
        <v>14</v>
      </c>
      <c r="B1570" s="497" t="s">
        <v>14</v>
      </c>
      <c r="C1570" s="497" t="s">
        <v>37</v>
      </c>
      <c r="D1570" s="497" t="s">
        <v>440</v>
      </c>
      <c r="E1570" s="497" t="s">
        <v>16</v>
      </c>
      <c r="F1570" s="497" t="s">
        <v>185</v>
      </c>
      <c r="G1570" s="497" t="s">
        <v>178</v>
      </c>
      <c r="H1570" s="497" t="s">
        <v>179</v>
      </c>
      <c r="I1570" s="497" t="s">
        <v>180</v>
      </c>
      <c r="J1570" s="497" t="s">
        <v>1275</v>
      </c>
      <c r="K1570" s="497" t="s">
        <v>200</v>
      </c>
      <c r="L1570" s="496" t="s">
        <v>180</v>
      </c>
      <c r="M1570" s="496" t="s">
        <v>181</v>
      </c>
      <c r="N1570" s="496" t="s">
        <v>200</v>
      </c>
      <c r="O1570" s="640" t="e">
        <f t="shared" si="240"/>
        <v>#VALUE!</v>
      </c>
      <c r="P1570" s="498"/>
      <c r="Q1570" s="635" t="e">
        <f t="shared" si="241"/>
        <v>#VALUE!</v>
      </c>
      <c r="R1570" s="498"/>
      <c r="S1570" s="498"/>
      <c r="T1570" s="499"/>
    </row>
    <row r="1571" spans="1:20" s="579" customFormat="1" ht="46.5" customHeight="1">
      <c r="A1571" s="572"/>
      <c r="B1571" s="572"/>
      <c r="C1571" s="573" t="s">
        <v>166</v>
      </c>
      <c r="D1571" s="574"/>
      <c r="E1571" s="574"/>
      <c r="F1571" s="575" t="s">
        <v>128</v>
      </c>
      <c r="G1571" s="576"/>
      <c r="H1571" s="576"/>
      <c r="I1571" s="577">
        <f>SUM(I1572,I1576,I1578,I1581,I1583,I1586)</f>
        <v>404836</v>
      </c>
      <c r="J1571" s="577">
        <f>SUM(J1572,J1576,J1578,J1581,J1583,J1586)</f>
        <v>19238</v>
      </c>
      <c r="K1571" s="577">
        <f>I1571+J1571</f>
        <v>424074</v>
      </c>
      <c r="L1571" s="578">
        <f>SUM(L1572,L1576,L1578,L1581,L1583,L1586)</f>
        <v>404836</v>
      </c>
      <c r="M1571" s="578">
        <f>SUM(M1572,M1576,M1578,M1581,M1583,M1586)</f>
        <v>19238</v>
      </c>
      <c r="N1571" s="578">
        <f>L1571+M1571</f>
        <v>424074</v>
      </c>
      <c r="O1571" s="644">
        <f t="shared" si="240"/>
        <v>7695.2</v>
      </c>
      <c r="Q1571" s="635">
        <f t="shared" si="241"/>
        <v>7695.2</v>
      </c>
    </row>
    <row r="1572" spans="1:20" s="510" customFormat="1" ht="72" hidden="1" customHeight="1">
      <c r="A1572" s="501"/>
      <c r="B1572" s="502"/>
      <c r="C1572" s="503" t="s">
        <v>292</v>
      </c>
      <c r="D1572" s="504"/>
      <c r="E1572" s="505"/>
      <c r="F1572" s="504"/>
      <c r="G1572" s="504"/>
      <c r="H1572" s="504"/>
      <c r="I1572" s="506">
        <f>SUM(I1573:I1575)</f>
        <v>172000</v>
      </c>
      <c r="J1572" s="506">
        <f>SUM(J1573:J1575)</f>
        <v>0</v>
      </c>
      <c r="K1572" s="506">
        <f>I1572+J1572</f>
        <v>172000</v>
      </c>
      <c r="L1572" s="507">
        <f>SUM(L1573:L1575)</f>
        <v>172000</v>
      </c>
      <c r="M1572" s="507">
        <f>SUM(M1573:M1575)</f>
        <v>0</v>
      </c>
      <c r="N1572" s="507">
        <f>L1572+M1572</f>
        <v>172000</v>
      </c>
      <c r="O1572" s="640">
        <f t="shared" si="240"/>
        <v>0</v>
      </c>
      <c r="P1572" s="508"/>
      <c r="Q1572" s="635">
        <f t="shared" si="241"/>
        <v>0</v>
      </c>
      <c r="R1572" s="508"/>
      <c r="S1572" s="508"/>
      <c r="T1572" s="509"/>
    </row>
    <row r="1573" spans="1:20" ht="54.75" hidden="1" customHeight="1">
      <c r="A1573" s="273"/>
      <c r="B1573" s="481" t="s">
        <v>1172</v>
      </c>
      <c r="C1573" s="490" t="s">
        <v>702</v>
      </c>
      <c r="D1573" s="483">
        <v>8100</v>
      </c>
      <c r="E1573" s="484">
        <v>108288</v>
      </c>
      <c r="F1573" s="526" t="s">
        <v>175</v>
      </c>
      <c r="G1573" s="488" t="s">
        <v>147</v>
      </c>
      <c r="H1573" s="491">
        <v>1</v>
      </c>
      <c r="I1573" s="473">
        <f>INT(L1573*$Q$139)</f>
        <v>41000</v>
      </c>
      <c r="J1573" s="473">
        <f>INT(M1573*$R$139)</f>
        <v>0</v>
      </c>
      <c r="K1573" s="473">
        <f>SUM(I1573:J1573)</f>
        <v>41000</v>
      </c>
      <c r="L1573" s="167">
        <v>41000</v>
      </c>
      <c r="M1573" s="167"/>
      <c r="N1573" s="167">
        <f t="shared" ref="N1573:N1579" si="244">SUM(L1573,M1573)</f>
        <v>41000</v>
      </c>
      <c r="O1573" s="640">
        <f t="shared" si="240"/>
        <v>0</v>
      </c>
      <c r="P1573" s="405"/>
      <c r="Q1573" s="635">
        <f t="shared" si="241"/>
        <v>0</v>
      </c>
    </row>
    <row r="1574" spans="1:20" ht="54.75" hidden="1" customHeight="1">
      <c r="A1574" s="273"/>
      <c r="B1574" s="481" t="s">
        <v>1206</v>
      </c>
      <c r="C1574" s="490" t="s">
        <v>726</v>
      </c>
      <c r="D1574" s="483">
        <v>8100</v>
      </c>
      <c r="E1574" s="484">
        <v>108288</v>
      </c>
      <c r="F1574" s="526" t="s">
        <v>175</v>
      </c>
      <c r="G1574" s="488" t="s">
        <v>147</v>
      </c>
      <c r="H1574" s="491">
        <v>1</v>
      </c>
      <c r="I1574" s="473">
        <f>INT(L1574*$Q$139)</f>
        <v>41000</v>
      </c>
      <c r="J1574" s="473">
        <f>INT(M1574*$R$139)</f>
        <v>0</v>
      </c>
      <c r="K1574" s="473">
        <f>SUM(I1574:J1574)</f>
        <v>41000</v>
      </c>
      <c r="L1574" s="167">
        <v>41000</v>
      </c>
      <c r="M1574" s="167"/>
      <c r="N1574" s="167">
        <f t="shared" si="244"/>
        <v>41000</v>
      </c>
      <c r="O1574" s="640">
        <f t="shared" si="240"/>
        <v>0</v>
      </c>
      <c r="P1574" s="405"/>
      <c r="Q1574" s="635">
        <f t="shared" si="241"/>
        <v>0</v>
      </c>
    </row>
    <row r="1575" spans="1:20" ht="54.75" hidden="1" customHeight="1">
      <c r="A1575" s="273"/>
      <c r="B1575" s="481" t="s">
        <v>1278</v>
      </c>
      <c r="C1575" s="490" t="s">
        <v>944</v>
      </c>
      <c r="D1575" s="483">
        <v>8100</v>
      </c>
      <c r="E1575" s="484">
        <v>108288</v>
      </c>
      <c r="F1575" s="526" t="s">
        <v>175</v>
      </c>
      <c r="G1575" s="488" t="s">
        <v>147</v>
      </c>
      <c r="H1575" s="491">
        <v>1</v>
      </c>
      <c r="I1575" s="473">
        <f>INT(L1575*$Q$139)</f>
        <v>90000</v>
      </c>
      <c r="J1575" s="473">
        <f>INT(M1575*$R$139)</f>
        <v>0</v>
      </c>
      <c r="K1575" s="473">
        <f>SUM(I1575:J1575)</f>
        <v>90000</v>
      </c>
      <c r="L1575" s="167">
        <v>90000</v>
      </c>
      <c r="M1575" s="167"/>
      <c r="N1575" s="167">
        <f t="shared" si="244"/>
        <v>90000</v>
      </c>
      <c r="O1575" s="640">
        <f t="shared" si="240"/>
        <v>0</v>
      </c>
      <c r="P1575" s="405"/>
      <c r="Q1575" s="635">
        <f t="shared" si="241"/>
        <v>0</v>
      </c>
    </row>
    <row r="1576" spans="1:20" s="510" customFormat="1" ht="72" hidden="1" customHeight="1">
      <c r="A1576" s="501"/>
      <c r="B1576" s="502"/>
      <c r="C1576" s="503" t="s">
        <v>141</v>
      </c>
      <c r="D1576" s="504"/>
      <c r="E1576" s="505"/>
      <c r="F1576" s="504"/>
      <c r="G1576" s="504"/>
      <c r="H1576" s="504"/>
      <c r="I1576" s="506">
        <f>SUM(I1577)</f>
        <v>197836</v>
      </c>
      <c r="J1576" s="506"/>
      <c r="K1576" s="506">
        <f>I1576+J1576</f>
        <v>197836</v>
      </c>
      <c r="L1576" s="507">
        <f>SUM(L1577)</f>
        <v>197836</v>
      </c>
      <c r="M1576" s="507"/>
      <c r="N1576" s="507">
        <f>L1576+M1576</f>
        <v>197836</v>
      </c>
      <c r="O1576" s="640">
        <f t="shared" ref="O1576:O1639" si="245">(J1576/100)*40</f>
        <v>0</v>
      </c>
      <c r="P1576" s="508"/>
      <c r="Q1576" s="635">
        <f t="shared" ref="Q1576:Q1639" si="246">($Q$932*J1576)/100</f>
        <v>0</v>
      </c>
      <c r="R1576" s="508"/>
      <c r="S1576" s="508"/>
      <c r="T1576" s="509"/>
    </row>
    <row r="1577" spans="1:20" ht="54.75" hidden="1" customHeight="1">
      <c r="A1577" s="273" t="s">
        <v>248</v>
      </c>
      <c r="B1577" s="481" t="s">
        <v>1173</v>
      </c>
      <c r="C1577" s="490" t="s">
        <v>317</v>
      </c>
      <c r="D1577" s="483">
        <v>8100</v>
      </c>
      <c r="E1577" s="484">
        <v>108288</v>
      </c>
      <c r="F1577" s="526" t="s">
        <v>175</v>
      </c>
      <c r="G1577" s="488" t="s">
        <v>143</v>
      </c>
      <c r="H1577" s="489">
        <v>1647</v>
      </c>
      <c r="I1577" s="473">
        <f>INT(L1577*$Q$139)</f>
        <v>197836</v>
      </c>
      <c r="J1577" s="473">
        <f>INT(M1577*$R$139)</f>
        <v>0</v>
      </c>
      <c r="K1577" s="473">
        <f>SUM(I1577:J1577)</f>
        <v>197836</v>
      </c>
      <c r="L1577" s="167">
        <v>197836</v>
      </c>
      <c r="M1577" s="167"/>
      <c r="N1577" s="167">
        <f t="shared" si="244"/>
        <v>197836</v>
      </c>
      <c r="O1577" s="640">
        <f t="shared" si="245"/>
        <v>0</v>
      </c>
      <c r="P1577" s="405"/>
      <c r="Q1577" s="635">
        <f t="shared" si="246"/>
        <v>0</v>
      </c>
    </row>
    <row r="1578" spans="1:20" s="510" customFormat="1" ht="72" hidden="1" customHeight="1">
      <c r="A1578" s="501"/>
      <c r="B1578" s="502"/>
      <c r="C1578" s="503" t="s">
        <v>310</v>
      </c>
      <c r="D1578" s="504"/>
      <c r="E1578" s="505"/>
      <c r="F1578" s="504"/>
      <c r="G1578" s="504"/>
      <c r="H1578" s="504"/>
      <c r="I1578" s="506">
        <f>SUM(I1579,I1580)</f>
        <v>15000</v>
      </c>
      <c r="J1578" s="506">
        <f>SUM(J1579,J1580)</f>
        <v>8824</v>
      </c>
      <c r="K1578" s="506">
        <f>I1578+J1578</f>
        <v>23824</v>
      </c>
      <c r="L1578" s="507">
        <f>SUM(L1579,L1580)</f>
        <v>15000</v>
      </c>
      <c r="M1578" s="507">
        <f>SUM(M1579,M1580)</f>
        <v>8824</v>
      </c>
      <c r="N1578" s="507">
        <f>L1578+M1578</f>
        <v>23824</v>
      </c>
      <c r="O1578" s="640">
        <f t="shared" si="245"/>
        <v>3529.6</v>
      </c>
      <c r="P1578" s="508"/>
      <c r="Q1578" s="635">
        <f t="shared" si="246"/>
        <v>3529.6</v>
      </c>
      <c r="R1578" s="508"/>
      <c r="S1578" s="508"/>
      <c r="T1578" s="509"/>
    </row>
    <row r="1579" spans="1:20" ht="54.75" customHeight="1">
      <c r="A1579" s="273" t="s">
        <v>247</v>
      </c>
      <c r="B1579" s="481" t="s">
        <v>1027</v>
      </c>
      <c r="C1579" s="490" t="s">
        <v>681</v>
      </c>
      <c r="D1579" s="483">
        <v>8100</v>
      </c>
      <c r="E1579" s="484">
        <v>108288</v>
      </c>
      <c r="F1579" s="526" t="s">
        <v>175</v>
      </c>
      <c r="G1579" s="488" t="s">
        <v>725</v>
      </c>
      <c r="H1579" s="489">
        <v>1</v>
      </c>
      <c r="I1579" s="473">
        <f>INT(L1579*$Q$139)</f>
        <v>15000</v>
      </c>
      <c r="J1579" s="473">
        <f>INT(M1579*$R$139)</f>
        <v>8824</v>
      </c>
      <c r="K1579" s="473">
        <f>SUM(I1579:J1579)</f>
        <v>23824</v>
      </c>
      <c r="L1579" s="167">
        <v>15000</v>
      </c>
      <c r="M1579" s="167">
        <v>8824</v>
      </c>
      <c r="N1579" s="167">
        <f t="shared" si="244"/>
        <v>23824</v>
      </c>
      <c r="O1579" s="640">
        <f t="shared" si="245"/>
        <v>3529.6</v>
      </c>
      <c r="P1579" s="405"/>
      <c r="Q1579" s="635">
        <f t="shared" si="246"/>
        <v>3529.6</v>
      </c>
    </row>
    <row r="1580" spans="1:20" ht="54.75" hidden="1" customHeight="1">
      <c r="A1580" s="273"/>
      <c r="B1580" s="481" t="s">
        <v>1186</v>
      </c>
      <c r="C1580" s="490" t="s">
        <v>1074</v>
      </c>
      <c r="D1580" s="483">
        <v>112</v>
      </c>
      <c r="E1580" s="484">
        <v>108288</v>
      </c>
      <c r="F1580" s="526" t="s">
        <v>175</v>
      </c>
      <c r="G1580" s="488" t="s">
        <v>1075</v>
      </c>
      <c r="H1580" s="489"/>
      <c r="I1580" s="473">
        <f>INT(L1580*$Q$139)</f>
        <v>0</v>
      </c>
      <c r="J1580" s="473">
        <f>INT(M1580*$R$139)</f>
        <v>0</v>
      </c>
      <c r="K1580" s="473">
        <f>SUM(I1580:J1580)</f>
        <v>0</v>
      </c>
      <c r="L1580" s="167"/>
      <c r="M1580" s="167"/>
      <c r="N1580" s="167">
        <f>L1580+M1580</f>
        <v>0</v>
      </c>
      <c r="O1580" s="640">
        <f t="shared" si="245"/>
        <v>0</v>
      </c>
      <c r="P1580" s="405"/>
      <c r="Q1580" s="635">
        <f t="shared" si="246"/>
        <v>0</v>
      </c>
    </row>
    <row r="1581" spans="1:20" s="510" customFormat="1" ht="72" hidden="1" customHeight="1">
      <c r="A1581" s="501"/>
      <c r="B1581" s="502"/>
      <c r="C1581" s="503" t="s">
        <v>397</v>
      </c>
      <c r="D1581" s="504"/>
      <c r="E1581" s="505"/>
      <c r="F1581" s="504"/>
      <c r="G1581" s="504"/>
      <c r="H1581" s="504"/>
      <c r="I1581" s="506">
        <f>SUM(I1582:I1582)</f>
        <v>20000</v>
      </c>
      <c r="J1581" s="506">
        <f>SUM(J1582:J1582)</f>
        <v>0</v>
      </c>
      <c r="K1581" s="506">
        <f>I1581+J1581</f>
        <v>20000</v>
      </c>
      <c r="L1581" s="507">
        <f>SUM(L1582:L1582)</f>
        <v>20000</v>
      </c>
      <c r="M1581" s="507">
        <f>SUM(M1582:M1582)</f>
        <v>0</v>
      </c>
      <c r="N1581" s="507">
        <f>L1581+M1581</f>
        <v>20000</v>
      </c>
      <c r="O1581" s="640">
        <f t="shared" si="245"/>
        <v>0</v>
      </c>
      <c r="P1581" s="508"/>
      <c r="Q1581" s="635">
        <f t="shared" si="246"/>
        <v>0</v>
      </c>
      <c r="R1581" s="508"/>
      <c r="S1581" s="508"/>
      <c r="T1581" s="509"/>
    </row>
    <row r="1582" spans="1:20" ht="54.75" hidden="1" customHeight="1">
      <c r="A1582" s="273" t="s">
        <v>513</v>
      </c>
      <c r="B1582" s="481" t="s">
        <v>1031</v>
      </c>
      <c r="C1582" s="490" t="s">
        <v>319</v>
      </c>
      <c r="D1582" s="483">
        <v>8100</v>
      </c>
      <c r="E1582" s="484" t="s">
        <v>686</v>
      </c>
      <c r="F1582" s="526" t="s">
        <v>175</v>
      </c>
      <c r="G1582" s="488" t="s">
        <v>18</v>
      </c>
      <c r="H1582" s="489">
        <v>15</v>
      </c>
      <c r="I1582" s="473">
        <f>INT(L1582*$Q$139)</f>
        <v>20000</v>
      </c>
      <c r="J1582" s="473">
        <f>INT(M1582*$R$139)</f>
        <v>0</v>
      </c>
      <c r="K1582" s="473">
        <f>SUM(I1582:J1582)</f>
        <v>20000</v>
      </c>
      <c r="L1582" s="167">
        <v>20000</v>
      </c>
      <c r="M1582" s="167"/>
      <c r="N1582" s="167">
        <f>SUM(L1582,M1582)</f>
        <v>20000</v>
      </c>
      <c r="O1582" s="640">
        <f t="shared" si="245"/>
        <v>0</v>
      </c>
      <c r="P1582" s="405"/>
      <c r="Q1582" s="635">
        <f t="shared" si="246"/>
        <v>0</v>
      </c>
    </row>
    <row r="1583" spans="1:20" ht="41.25" hidden="1" customHeight="1">
      <c r="A1583" s="149"/>
      <c r="B1583" s="434"/>
      <c r="C1583" s="143" t="s">
        <v>274</v>
      </c>
      <c r="D1583" s="144"/>
      <c r="E1583" s="144"/>
      <c r="F1583" s="137"/>
      <c r="G1583" s="143"/>
      <c r="H1583" s="135"/>
      <c r="I1583" s="391">
        <f t="shared" ref="I1583:N1583" si="247">SUM(I1584:I1585)</f>
        <v>0</v>
      </c>
      <c r="J1583" s="391">
        <f t="shared" si="247"/>
        <v>0</v>
      </c>
      <c r="K1583" s="391">
        <f t="shared" si="247"/>
        <v>0</v>
      </c>
      <c r="L1583" s="391">
        <f t="shared" si="247"/>
        <v>0</v>
      </c>
      <c r="M1583" s="391">
        <f t="shared" si="247"/>
        <v>0</v>
      </c>
      <c r="N1583" s="391">
        <f t="shared" si="247"/>
        <v>0</v>
      </c>
      <c r="O1583" s="640">
        <f t="shared" si="245"/>
        <v>0</v>
      </c>
      <c r="Q1583" s="635">
        <f t="shared" si="246"/>
        <v>0</v>
      </c>
    </row>
    <row r="1584" spans="1:20" ht="48.75" hidden="1" customHeight="1">
      <c r="A1584" s="35" t="s">
        <v>439</v>
      </c>
      <c r="B1584" s="443" t="s">
        <v>835</v>
      </c>
      <c r="C1584" s="183" t="s">
        <v>681</v>
      </c>
      <c r="D1584" s="228">
        <v>112</v>
      </c>
      <c r="E1584" s="229" t="s">
        <v>795</v>
      </c>
      <c r="F1584" s="230" t="s">
        <v>175</v>
      </c>
      <c r="G1584" s="237" t="s">
        <v>725</v>
      </c>
      <c r="H1584" s="251">
        <v>1</v>
      </c>
      <c r="I1584" s="388">
        <f>INT(L1584*$Q$139)</f>
        <v>0</v>
      </c>
      <c r="J1584" s="388">
        <f>INT(M1584*$R$139)</f>
        <v>0</v>
      </c>
      <c r="K1584" s="388">
        <f>SUM(I1584:J1584)</f>
        <v>0</v>
      </c>
      <c r="L1584" s="167"/>
      <c r="M1584" s="330"/>
      <c r="N1584" s="167">
        <f>SUM(L1584,M1584)</f>
        <v>0</v>
      </c>
      <c r="O1584" s="640">
        <f t="shared" si="245"/>
        <v>0</v>
      </c>
      <c r="Q1584" s="635">
        <f t="shared" si="246"/>
        <v>0</v>
      </c>
    </row>
    <row r="1585" spans="1:20" ht="48.75" hidden="1" customHeight="1">
      <c r="A1585" s="35"/>
      <c r="B1585" s="443" t="s">
        <v>837</v>
      </c>
      <c r="C1585" s="241" t="s">
        <v>316</v>
      </c>
      <c r="D1585" s="228">
        <v>112</v>
      </c>
      <c r="E1585" s="229" t="s">
        <v>795</v>
      </c>
      <c r="F1585" s="230" t="s">
        <v>175</v>
      </c>
      <c r="G1585" s="242" t="s">
        <v>315</v>
      </c>
      <c r="H1585" s="271">
        <v>1</v>
      </c>
      <c r="I1585" s="388">
        <f>INT(L1585*$Q$139)</f>
        <v>0</v>
      </c>
      <c r="J1585" s="388">
        <f>INT(M1585*$R$139)</f>
        <v>0</v>
      </c>
      <c r="K1585" s="388">
        <f>SUM(I1585:J1585)</f>
        <v>0</v>
      </c>
      <c r="L1585" s="167"/>
      <c r="M1585" s="331"/>
      <c r="N1585" s="167">
        <f>SUM(L1585,M1585)</f>
        <v>0</v>
      </c>
      <c r="O1585" s="640">
        <f t="shared" si="245"/>
        <v>0</v>
      </c>
      <c r="Q1585" s="635">
        <f t="shared" si="246"/>
        <v>0</v>
      </c>
    </row>
    <row r="1586" spans="1:20" s="510" customFormat="1" ht="72" hidden="1" customHeight="1">
      <c r="A1586" s="501"/>
      <c r="B1586" s="502"/>
      <c r="C1586" s="503" t="s">
        <v>312</v>
      </c>
      <c r="D1586" s="504"/>
      <c r="E1586" s="505"/>
      <c r="F1586" s="504"/>
      <c r="G1586" s="504"/>
      <c r="H1586" s="504"/>
      <c r="I1586" s="506">
        <f>I1587</f>
        <v>0</v>
      </c>
      <c r="J1586" s="506">
        <f>J1587</f>
        <v>10414</v>
      </c>
      <c r="K1586" s="506">
        <f>I1586+J1586</f>
        <v>10414</v>
      </c>
      <c r="L1586" s="507">
        <f>L1587</f>
        <v>0</v>
      </c>
      <c r="M1586" s="507">
        <f>M1587</f>
        <v>10414</v>
      </c>
      <c r="N1586" s="507">
        <f>L1586+M1586</f>
        <v>10414</v>
      </c>
      <c r="O1586" s="640">
        <f t="shared" si="245"/>
        <v>4165.6000000000004</v>
      </c>
      <c r="P1586" s="508"/>
      <c r="Q1586" s="635">
        <f t="shared" si="246"/>
        <v>4165.6000000000004</v>
      </c>
      <c r="R1586" s="508"/>
      <c r="S1586" s="508"/>
      <c r="T1586" s="509"/>
    </row>
    <row r="1587" spans="1:20" ht="54.75" customHeight="1">
      <c r="A1587" s="273"/>
      <c r="B1587" s="481" t="s">
        <v>1030</v>
      </c>
      <c r="C1587" s="490" t="s">
        <v>316</v>
      </c>
      <c r="D1587" s="483">
        <v>8100</v>
      </c>
      <c r="E1587" s="484">
        <v>108288</v>
      </c>
      <c r="F1587" s="526" t="s">
        <v>175</v>
      </c>
      <c r="G1587" s="488" t="s">
        <v>1075</v>
      </c>
      <c r="H1587" s="491">
        <v>1</v>
      </c>
      <c r="I1587" s="473">
        <f>INT(L1587*$Q$139)</f>
        <v>0</v>
      </c>
      <c r="J1587" s="473">
        <f>INT(M1587*$R$139)</f>
        <v>10414</v>
      </c>
      <c r="K1587" s="473">
        <f>SUM(I1587:J1587)</f>
        <v>10414</v>
      </c>
      <c r="L1587" s="167"/>
      <c r="M1587" s="167">
        <v>10414</v>
      </c>
      <c r="N1587" s="167">
        <f>L1587+M1587</f>
        <v>10414</v>
      </c>
      <c r="O1587" s="640">
        <f t="shared" si="245"/>
        <v>4165.6000000000004</v>
      </c>
      <c r="P1587" s="405"/>
      <c r="Q1587" s="635">
        <f t="shared" si="246"/>
        <v>4165.6000000000004</v>
      </c>
    </row>
    <row r="1588" spans="1:20" s="579" customFormat="1" ht="46.5" customHeight="1">
      <c r="A1588" s="572"/>
      <c r="B1588" s="572"/>
      <c r="C1588" s="573" t="s">
        <v>259</v>
      </c>
      <c r="D1588" s="574"/>
      <c r="E1588" s="574"/>
      <c r="F1588" s="575" t="s">
        <v>260</v>
      </c>
      <c r="G1588" s="576"/>
      <c r="H1588" s="576"/>
      <c r="I1588" s="577">
        <f>SUM(I1589,I1591,I1594,I1597)</f>
        <v>67443</v>
      </c>
      <c r="J1588" s="577">
        <f>SUM(J1589,J1591,J1594,J1597)</f>
        <v>5528</v>
      </c>
      <c r="K1588" s="577">
        <f>I1588+J1588</f>
        <v>72971</v>
      </c>
      <c r="L1588" s="578">
        <f>SUM(L1589,L1591,L1594,L1597)</f>
        <v>67443</v>
      </c>
      <c r="M1588" s="578">
        <f>SUM(M1589,M1591,M1594,M1597)</f>
        <v>5528</v>
      </c>
      <c r="N1588" s="578">
        <f>L1588+M1588</f>
        <v>72971</v>
      </c>
      <c r="O1588" s="644">
        <f t="shared" si="245"/>
        <v>2211.1999999999998</v>
      </c>
      <c r="Q1588" s="635">
        <f t="shared" si="246"/>
        <v>2211.1999999999998</v>
      </c>
    </row>
    <row r="1589" spans="1:20" s="510" customFormat="1" ht="72" hidden="1" customHeight="1">
      <c r="A1589" s="501"/>
      <c r="B1589" s="502"/>
      <c r="C1589" s="503" t="s">
        <v>141</v>
      </c>
      <c r="D1589" s="504"/>
      <c r="E1589" s="505"/>
      <c r="F1589" s="504"/>
      <c r="G1589" s="504"/>
      <c r="H1589" s="504"/>
      <c r="I1589" s="506">
        <f>SUM(I1590:I1590)</f>
        <v>43499</v>
      </c>
      <c r="J1589" s="506">
        <f>SUM(J1590:J1590)</f>
        <v>0</v>
      </c>
      <c r="K1589" s="506">
        <f>I1589+J1589</f>
        <v>43499</v>
      </c>
      <c r="L1589" s="507">
        <f>SUM(L1590:L1590)</f>
        <v>43499</v>
      </c>
      <c r="M1589" s="507">
        <f>SUM(M1590:M1590)</f>
        <v>0</v>
      </c>
      <c r="N1589" s="507">
        <f>SUM(L1589,M1589)</f>
        <v>43499</v>
      </c>
      <c r="O1589" s="640">
        <f t="shared" si="245"/>
        <v>0</v>
      </c>
      <c r="P1589" s="508"/>
      <c r="Q1589" s="635">
        <f t="shared" si="246"/>
        <v>0</v>
      </c>
      <c r="R1589" s="508"/>
      <c r="S1589" s="508"/>
      <c r="T1589" s="509"/>
    </row>
    <row r="1590" spans="1:20" ht="54.75" hidden="1" customHeight="1">
      <c r="A1590" s="273" t="s">
        <v>248</v>
      </c>
      <c r="B1590" s="481" t="s">
        <v>1173</v>
      </c>
      <c r="C1590" s="490" t="s">
        <v>317</v>
      </c>
      <c r="D1590" s="483">
        <v>8100</v>
      </c>
      <c r="E1590" s="484">
        <v>108288</v>
      </c>
      <c r="F1590" s="526" t="s">
        <v>261</v>
      </c>
      <c r="G1590" s="488" t="s">
        <v>143</v>
      </c>
      <c r="H1590" s="489">
        <v>789</v>
      </c>
      <c r="I1590" s="473">
        <f>INT(L1590*$Q$139)</f>
        <v>43499</v>
      </c>
      <c r="J1590" s="473">
        <f>INT(M1590*$R$139)</f>
        <v>0</v>
      </c>
      <c r="K1590" s="473">
        <f>SUM(I1590:J1590)</f>
        <v>43499</v>
      </c>
      <c r="L1590" s="167">
        <v>43499</v>
      </c>
      <c r="M1590" s="167"/>
      <c r="N1590" s="167">
        <f>SUM(L1590,M1590)</f>
        <v>43499</v>
      </c>
      <c r="O1590" s="640">
        <f t="shared" si="245"/>
        <v>0</v>
      </c>
      <c r="P1590" s="405"/>
      <c r="Q1590" s="635">
        <f t="shared" si="246"/>
        <v>0</v>
      </c>
    </row>
    <row r="1591" spans="1:20" s="510" customFormat="1" ht="72" hidden="1" customHeight="1">
      <c r="A1591" s="501"/>
      <c r="B1591" s="502"/>
      <c r="C1591" s="503" t="s">
        <v>310</v>
      </c>
      <c r="D1591" s="504"/>
      <c r="E1591" s="505"/>
      <c r="F1591" s="504"/>
      <c r="G1591" s="504"/>
      <c r="H1591" s="504"/>
      <c r="I1591" s="506">
        <f>SUM(I1592:I1593)</f>
        <v>20717</v>
      </c>
      <c r="J1591" s="506">
        <f>SUM(J1592:J1593)</f>
        <v>4653</v>
      </c>
      <c r="K1591" s="506">
        <f>I1591+J1591</f>
        <v>25370</v>
      </c>
      <c r="L1591" s="507">
        <f>SUM(L1592:L1593)</f>
        <v>20717</v>
      </c>
      <c r="M1591" s="507">
        <f>SUM(M1592:M1593)</f>
        <v>4653</v>
      </c>
      <c r="N1591" s="507">
        <f>SUM(L1591,M1591)</f>
        <v>25370</v>
      </c>
      <c r="O1591" s="640">
        <f t="shared" si="245"/>
        <v>1861.2</v>
      </c>
      <c r="P1591" s="508"/>
      <c r="Q1591" s="635">
        <f t="shared" si="246"/>
        <v>1861.2</v>
      </c>
      <c r="R1591" s="508"/>
      <c r="S1591" s="508"/>
      <c r="T1591" s="509"/>
    </row>
    <row r="1592" spans="1:20" ht="54.75" customHeight="1">
      <c r="A1592" s="273" t="s">
        <v>247</v>
      </c>
      <c r="B1592" s="481" t="s">
        <v>1027</v>
      </c>
      <c r="C1592" s="490" t="s">
        <v>681</v>
      </c>
      <c r="D1592" s="483">
        <v>8100</v>
      </c>
      <c r="E1592" s="484">
        <v>108288</v>
      </c>
      <c r="F1592" s="526" t="s">
        <v>261</v>
      </c>
      <c r="G1592" s="488" t="s">
        <v>725</v>
      </c>
      <c r="H1592" s="489">
        <v>1</v>
      </c>
      <c r="I1592" s="473">
        <f>INT(L1592*$Q$139)</f>
        <v>20717</v>
      </c>
      <c r="J1592" s="473">
        <f>INT(M1592*$R$139)</f>
        <v>4653</v>
      </c>
      <c r="K1592" s="473">
        <f>SUM(I1592:J1592)</f>
        <v>25370</v>
      </c>
      <c r="L1592" s="167">
        <v>20717</v>
      </c>
      <c r="M1592" s="167">
        <v>4653</v>
      </c>
      <c r="N1592" s="167">
        <f>SUM(L1592,M1592)</f>
        <v>25370</v>
      </c>
      <c r="O1592" s="640">
        <f t="shared" si="245"/>
        <v>1861.2</v>
      </c>
      <c r="P1592" s="405"/>
      <c r="Q1592" s="635">
        <f t="shared" si="246"/>
        <v>1861.2</v>
      </c>
    </row>
    <row r="1593" spans="1:20" ht="54.75" hidden="1" customHeight="1">
      <c r="A1593" s="273"/>
      <c r="B1593" s="481" t="s">
        <v>1186</v>
      </c>
      <c r="C1593" s="490" t="s">
        <v>1074</v>
      </c>
      <c r="D1593" s="483">
        <v>112</v>
      </c>
      <c r="E1593" s="484">
        <v>108288</v>
      </c>
      <c r="F1593" s="526" t="s">
        <v>261</v>
      </c>
      <c r="G1593" s="488" t="s">
        <v>1075</v>
      </c>
      <c r="H1593" s="489"/>
      <c r="I1593" s="473">
        <f>INT(L1593*$Q$139)</f>
        <v>0</v>
      </c>
      <c r="J1593" s="473">
        <f>INT(M1593*$R$139)</f>
        <v>0</v>
      </c>
      <c r="K1593" s="473">
        <f>SUM(I1593:J1593)</f>
        <v>0</v>
      </c>
      <c r="L1593" s="167"/>
      <c r="M1593" s="167"/>
      <c r="N1593" s="167">
        <f>L1593+M1593</f>
        <v>0</v>
      </c>
      <c r="O1593" s="640">
        <f t="shared" si="245"/>
        <v>0</v>
      </c>
      <c r="P1593" s="405"/>
      <c r="Q1593" s="635">
        <f t="shared" si="246"/>
        <v>0</v>
      </c>
    </row>
    <row r="1594" spans="1:20" ht="41.25" hidden="1" customHeight="1">
      <c r="A1594" s="149"/>
      <c r="B1594" s="434"/>
      <c r="C1594" s="143" t="s">
        <v>274</v>
      </c>
      <c r="D1594" s="144"/>
      <c r="E1594" s="144"/>
      <c r="F1594" s="137"/>
      <c r="G1594" s="143"/>
      <c r="H1594" s="135"/>
      <c r="I1594" s="391">
        <f t="shared" ref="I1594:N1594" si="248">SUM(I1595:I1596)</f>
        <v>0</v>
      </c>
      <c r="J1594" s="391">
        <f t="shared" si="248"/>
        <v>0</v>
      </c>
      <c r="K1594" s="391">
        <f t="shared" si="248"/>
        <v>0</v>
      </c>
      <c r="L1594" s="391">
        <f t="shared" si="248"/>
        <v>0</v>
      </c>
      <c r="M1594" s="391">
        <f t="shared" si="248"/>
        <v>0</v>
      </c>
      <c r="N1594" s="391">
        <f t="shared" si="248"/>
        <v>0</v>
      </c>
      <c r="O1594" s="640">
        <f t="shared" si="245"/>
        <v>0</v>
      </c>
      <c r="Q1594" s="635">
        <f t="shared" si="246"/>
        <v>0</v>
      </c>
    </row>
    <row r="1595" spans="1:20" ht="48.75" hidden="1" customHeight="1">
      <c r="A1595" s="35" t="s">
        <v>439</v>
      </c>
      <c r="B1595" s="443" t="s">
        <v>835</v>
      </c>
      <c r="C1595" s="183" t="s">
        <v>681</v>
      </c>
      <c r="D1595" s="228">
        <v>112</v>
      </c>
      <c r="E1595" s="229" t="s">
        <v>795</v>
      </c>
      <c r="F1595" s="230" t="s">
        <v>261</v>
      </c>
      <c r="G1595" s="237" t="s">
        <v>725</v>
      </c>
      <c r="H1595" s="251">
        <v>1</v>
      </c>
      <c r="I1595" s="388">
        <f>INT(L1595*$Q$139)</f>
        <v>0</v>
      </c>
      <c r="J1595" s="388">
        <f>INT(M1595*$R$139)</f>
        <v>0</v>
      </c>
      <c r="K1595" s="388">
        <f>SUM(I1595:J1595)</f>
        <v>0</v>
      </c>
      <c r="L1595" s="167"/>
      <c r="M1595" s="168"/>
      <c r="N1595" s="167">
        <f>SUM(L1595,M1595)</f>
        <v>0</v>
      </c>
      <c r="O1595" s="640">
        <f t="shared" si="245"/>
        <v>0</v>
      </c>
      <c r="Q1595" s="635">
        <f t="shared" si="246"/>
        <v>0</v>
      </c>
    </row>
    <row r="1596" spans="1:20" ht="48.75" hidden="1" customHeight="1">
      <c r="A1596" s="35"/>
      <c r="B1596" s="443" t="s">
        <v>837</v>
      </c>
      <c r="C1596" s="241" t="s">
        <v>316</v>
      </c>
      <c r="D1596" s="228">
        <v>112</v>
      </c>
      <c r="E1596" s="229" t="s">
        <v>795</v>
      </c>
      <c r="F1596" s="230" t="s">
        <v>261</v>
      </c>
      <c r="G1596" s="242" t="s">
        <v>315</v>
      </c>
      <c r="H1596" s="271">
        <v>1</v>
      </c>
      <c r="I1596" s="388">
        <f>INT(L1596*$Q$139)</f>
        <v>0</v>
      </c>
      <c r="J1596" s="388">
        <f>INT(M1596*$R$139)</f>
        <v>0</v>
      </c>
      <c r="K1596" s="388">
        <f>SUM(I1596:J1596)</f>
        <v>0</v>
      </c>
      <c r="L1596" s="167"/>
      <c r="M1596" s="167"/>
      <c r="N1596" s="167">
        <f>SUM(L1596,M1596)</f>
        <v>0</v>
      </c>
      <c r="O1596" s="640">
        <f t="shared" si="245"/>
        <v>0</v>
      </c>
      <c r="Q1596" s="635">
        <f t="shared" si="246"/>
        <v>0</v>
      </c>
    </row>
    <row r="1597" spans="1:20" s="510" customFormat="1" ht="72" hidden="1" customHeight="1">
      <c r="A1597" s="501"/>
      <c r="B1597" s="502"/>
      <c r="C1597" s="503" t="s">
        <v>312</v>
      </c>
      <c r="D1597" s="504"/>
      <c r="E1597" s="505"/>
      <c r="F1597" s="504"/>
      <c r="G1597" s="504"/>
      <c r="H1597" s="504"/>
      <c r="I1597" s="506">
        <f>SUM(I1598:I1599)</f>
        <v>3227</v>
      </c>
      <c r="J1597" s="506">
        <f>SUM(J1598:J1599)</f>
        <v>875</v>
      </c>
      <c r="K1597" s="506">
        <f>I1597+J1597</f>
        <v>4102</v>
      </c>
      <c r="L1597" s="507">
        <f>SUM(L1598:L1599)</f>
        <v>3227</v>
      </c>
      <c r="M1597" s="507">
        <f>SUM(M1598:M1599)</f>
        <v>875</v>
      </c>
      <c r="N1597" s="507">
        <f>SUM(L1597,M1597)</f>
        <v>4102</v>
      </c>
      <c r="O1597" s="640">
        <f t="shared" si="245"/>
        <v>350</v>
      </c>
      <c r="P1597" s="508"/>
      <c r="Q1597" s="635">
        <f t="shared" si="246"/>
        <v>350</v>
      </c>
      <c r="R1597" s="508"/>
      <c r="S1597" s="508"/>
      <c r="T1597" s="509"/>
    </row>
    <row r="1598" spans="1:20" ht="54.75" customHeight="1">
      <c r="A1598" s="273" t="s">
        <v>439</v>
      </c>
      <c r="B1598" s="481" t="s">
        <v>1030</v>
      </c>
      <c r="C1598" s="490" t="s">
        <v>316</v>
      </c>
      <c r="D1598" s="483">
        <v>8100</v>
      </c>
      <c r="E1598" s="484">
        <v>108288</v>
      </c>
      <c r="F1598" s="526" t="s">
        <v>261</v>
      </c>
      <c r="G1598" s="488" t="s">
        <v>315</v>
      </c>
      <c r="H1598" s="489">
        <v>1</v>
      </c>
      <c r="I1598" s="473">
        <f>INT(L1598*$Q$139)</f>
        <v>3227</v>
      </c>
      <c r="J1598" s="473">
        <f>INT(M1598*$R$139)</f>
        <v>875</v>
      </c>
      <c r="K1598" s="473">
        <f>SUM(I1598:J1598)</f>
        <v>4102</v>
      </c>
      <c r="L1598" s="167">
        <v>3227</v>
      </c>
      <c r="M1598" s="167">
        <v>875</v>
      </c>
      <c r="N1598" s="167">
        <f>SUM(L1598,M1598)</f>
        <v>4102</v>
      </c>
      <c r="O1598" s="640">
        <f t="shared" si="245"/>
        <v>350</v>
      </c>
      <c r="P1598" s="405"/>
      <c r="Q1598" s="635">
        <f t="shared" si="246"/>
        <v>350</v>
      </c>
    </row>
    <row r="1599" spans="1:20" ht="54.75" hidden="1" customHeight="1">
      <c r="A1599" s="273"/>
      <c r="B1599" s="481" t="s">
        <v>1188</v>
      </c>
      <c r="C1599" s="490" t="s">
        <v>1074</v>
      </c>
      <c r="D1599" s="483">
        <v>112</v>
      </c>
      <c r="E1599" s="484">
        <v>108288</v>
      </c>
      <c r="F1599" s="526" t="s">
        <v>261</v>
      </c>
      <c r="G1599" s="488" t="s">
        <v>1075</v>
      </c>
      <c r="H1599" s="489"/>
      <c r="I1599" s="473">
        <f>INT(L1599*$Q$139)</f>
        <v>0</v>
      </c>
      <c r="J1599" s="473">
        <f>INT(M1599*$R$139)</f>
        <v>0</v>
      </c>
      <c r="K1599" s="473">
        <f>SUM(I1599:J1599)</f>
        <v>0</v>
      </c>
      <c r="L1599" s="167"/>
      <c r="M1599" s="167"/>
      <c r="N1599" s="167">
        <f>L1599+M1599</f>
        <v>0</v>
      </c>
      <c r="O1599" s="640">
        <f t="shared" si="245"/>
        <v>0</v>
      </c>
      <c r="P1599" s="405"/>
      <c r="Q1599" s="635">
        <f t="shared" si="246"/>
        <v>0</v>
      </c>
    </row>
    <row r="1600" spans="1:20" ht="72.75" hidden="1" customHeight="1">
      <c r="B1600" s="1287" t="s">
        <v>1276</v>
      </c>
      <c r="C1600" s="1287"/>
      <c r="D1600" s="1287"/>
      <c r="E1600" s="1287"/>
      <c r="F1600" s="1287"/>
      <c r="G1600" s="1287"/>
      <c r="H1600" s="1287"/>
      <c r="I1600" s="1287"/>
      <c r="J1600" s="1287"/>
      <c r="K1600" s="1287"/>
      <c r="O1600" s="640">
        <f t="shared" si="245"/>
        <v>0</v>
      </c>
      <c r="Q1600" s="635">
        <f t="shared" si="246"/>
        <v>0</v>
      </c>
    </row>
    <row r="1601" spans="1:20" ht="21.95" hidden="1" customHeight="1">
      <c r="O1601" s="640">
        <f t="shared" si="245"/>
        <v>0</v>
      </c>
      <c r="Q1601" s="635">
        <f t="shared" si="246"/>
        <v>0</v>
      </c>
    </row>
    <row r="1602" spans="1:20" ht="21.95" hidden="1" customHeight="1">
      <c r="O1602" s="640">
        <f t="shared" si="245"/>
        <v>0</v>
      </c>
      <c r="Q1602" s="635">
        <f t="shared" si="246"/>
        <v>0</v>
      </c>
    </row>
    <row r="1603" spans="1:20" ht="21.95" hidden="1" customHeight="1" thickBot="1">
      <c r="O1603" s="640">
        <f t="shared" si="245"/>
        <v>0</v>
      </c>
      <c r="Q1603" s="635">
        <f t="shared" si="246"/>
        <v>0</v>
      </c>
    </row>
    <row r="1604" spans="1:20" ht="29.25" hidden="1" customHeight="1">
      <c r="C1604" s="1204" t="s">
        <v>51</v>
      </c>
      <c r="D1604" s="1204"/>
      <c r="E1604" s="1204"/>
      <c r="F1604" s="1204"/>
      <c r="H1604" s="1243" t="s">
        <v>11</v>
      </c>
      <c r="I1604" s="1244"/>
      <c r="J1604" s="1244"/>
      <c r="K1604" s="1245"/>
      <c r="L1604" s="337"/>
      <c r="M1604" s="337"/>
      <c r="N1604" s="337"/>
      <c r="O1604" s="640">
        <f t="shared" si="245"/>
        <v>0</v>
      </c>
      <c r="Q1604" s="635">
        <f t="shared" si="246"/>
        <v>0</v>
      </c>
    </row>
    <row r="1605" spans="1:20" ht="29.25" hidden="1" customHeight="1">
      <c r="C1605" s="1204" t="s">
        <v>52</v>
      </c>
      <c r="D1605" s="1204"/>
      <c r="E1605" s="1204"/>
      <c r="F1605" s="1204"/>
      <c r="H1605" s="1208" t="s">
        <v>21</v>
      </c>
      <c r="I1605" s="1209"/>
      <c r="J1605" s="1209"/>
      <c r="K1605" s="1210"/>
      <c r="L1605" s="336"/>
      <c r="M1605" s="336"/>
      <c r="N1605" s="336"/>
      <c r="O1605" s="640">
        <f t="shared" si="245"/>
        <v>0</v>
      </c>
      <c r="Q1605" s="635">
        <f t="shared" si="246"/>
        <v>0</v>
      </c>
    </row>
    <row r="1606" spans="1:20" ht="29.25" hidden="1" customHeight="1">
      <c r="C1606" s="1204" t="s">
        <v>50</v>
      </c>
      <c r="D1606" s="1204"/>
      <c r="E1606" s="1204"/>
      <c r="F1606" s="1204"/>
      <c r="H1606" s="1211"/>
      <c r="I1606" s="1212"/>
      <c r="J1606" s="1212"/>
      <c r="K1606" s="1213"/>
      <c r="L1606" s="336"/>
      <c r="M1606" s="336"/>
      <c r="N1606" s="336"/>
      <c r="O1606" s="640">
        <f t="shared" si="245"/>
        <v>0</v>
      </c>
      <c r="Q1606" s="635">
        <f t="shared" si="246"/>
        <v>0</v>
      </c>
    </row>
    <row r="1607" spans="1:20" s="51" customFormat="1" ht="49.5" hidden="1" customHeight="1">
      <c r="A1607" s="41"/>
      <c r="B1607" s="41"/>
      <c r="C1607" s="1252"/>
      <c r="D1607" s="1252"/>
      <c r="E1607" s="1252"/>
      <c r="F1607" s="1252"/>
      <c r="G1607" s="44"/>
      <c r="H1607" s="1211" t="s">
        <v>22</v>
      </c>
      <c r="I1607" s="1212"/>
      <c r="J1607" s="1212"/>
      <c r="K1607" s="477">
        <f>K975</f>
        <v>14317270</v>
      </c>
      <c r="L1607" s="336"/>
      <c r="M1607" s="336"/>
      <c r="N1607" s="86"/>
      <c r="O1607" s="640">
        <f t="shared" si="245"/>
        <v>0</v>
      </c>
      <c r="P1607" s="28"/>
      <c r="Q1607" s="635">
        <f t="shared" si="246"/>
        <v>0</v>
      </c>
      <c r="R1607" s="28"/>
      <c r="S1607" s="28"/>
      <c r="T1607" s="29"/>
    </row>
    <row r="1608" spans="1:20" ht="45" hidden="1" customHeight="1" thickBot="1">
      <c r="A1608" s="75"/>
      <c r="B1608" s="75"/>
      <c r="C1608" s="65"/>
      <c r="D1608" s="65"/>
      <c r="E1608" s="65"/>
      <c r="F1608" s="10"/>
      <c r="G1608" s="10"/>
      <c r="H1608" s="1283" t="s">
        <v>13</v>
      </c>
      <c r="I1608" s="1284"/>
      <c r="J1608" s="1284"/>
      <c r="K1608" s="1285"/>
      <c r="L1608" s="336"/>
      <c r="M1608" s="336"/>
      <c r="N1608" s="336"/>
      <c r="O1608" s="640">
        <f t="shared" si="245"/>
        <v>0</v>
      </c>
      <c r="Q1608" s="635">
        <f t="shared" si="246"/>
        <v>0</v>
      </c>
    </row>
    <row r="1609" spans="1:20" ht="30" hidden="1" customHeight="1">
      <c r="A1609" s="75"/>
      <c r="B1609" s="75"/>
      <c r="C1609" s="65"/>
      <c r="D1609" s="65"/>
      <c r="E1609" s="65"/>
      <c r="F1609" s="10"/>
      <c r="G1609" s="10"/>
      <c r="H1609" s="20"/>
      <c r="I1609" s="20"/>
      <c r="J1609" s="20"/>
      <c r="K1609" s="20"/>
      <c r="L1609" s="20"/>
      <c r="M1609" s="20"/>
      <c r="N1609" s="20"/>
      <c r="O1609" s="640">
        <f t="shared" si="245"/>
        <v>0</v>
      </c>
      <c r="Q1609" s="635">
        <f t="shared" si="246"/>
        <v>0</v>
      </c>
    </row>
    <row r="1610" spans="1:20" ht="39.950000000000003" hidden="1" customHeight="1">
      <c r="A1610" s="75"/>
      <c r="B1610" s="75"/>
      <c r="C1610" s="65"/>
      <c r="D1610" s="65"/>
      <c r="E1610" s="65"/>
      <c r="F1610" s="10"/>
      <c r="G1610" s="10"/>
      <c r="L1610" s="3"/>
      <c r="M1610" s="3"/>
      <c r="N1610" s="3"/>
      <c r="O1610" s="640">
        <f t="shared" si="245"/>
        <v>0</v>
      </c>
      <c r="Q1610" s="635">
        <f t="shared" si="246"/>
        <v>0</v>
      </c>
    </row>
    <row r="1611" spans="1:20" ht="39.950000000000003" hidden="1" customHeight="1">
      <c r="A1611" s="346"/>
      <c r="B1611" s="1226" t="s">
        <v>1037</v>
      </c>
      <c r="C1611" s="1226"/>
      <c r="D1611" s="1226"/>
      <c r="E1611" s="1226"/>
      <c r="F1611" s="1226"/>
      <c r="G1611" s="1226"/>
      <c r="H1611" s="1226"/>
      <c r="I1611" s="1226"/>
      <c r="J1611" s="1226"/>
      <c r="K1611" s="1226"/>
      <c r="L1611" s="346"/>
      <c r="M1611" s="346"/>
      <c r="N1611" s="346"/>
      <c r="O1611" s="640">
        <f t="shared" si="245"/>
        <v>0</v>
      </c>
      <c r="P1611" s="27"/>
      <c r="Q1611" s="635">
        <f t="shared" si="246"/>
        <v>0</v>
      </c>
      <c r="R1611" s="27"/>
      <c r="S1611" s="27"/>
      <c r="T1611" s="27"/>
    </row>
    <row r="1612" spans="1:20" ht="17.100000000000001" hidden="1" customHeight="1">
      <c r="A1612" s="46"/>
      <c r="B1612" s="46"/>
      <c r="C1612" s="46"/>
      <c r="D1612" s="46"/>
      <c r="E1612" s="46"/>
      <c r="F1612" s="46"/>
      <c r="G1612" s="46"/>
      <c r="H1612" s="46"/>
      <c r="I1612" s="46"/>
      <c r="J1612" s="46"/>
      <c r="K1612" s="46"/>
      <c r="L1612" s="46"/>
      <c r="M1612" s="46"/>
      <c r="N1612" s="46"/>
      <c r="O1612" s="640">
        <f t="shared" si="245"/>
        <v>0</v>
      </c>
      <c r="Q1612" s="635">
        <f t="shared" si="246"/>
        <v>0</v>
      </c>
    </row>
    <row r="1613" spans="1:20" s="500" customFormat="1" ht="90" hidden="1">
      <c r="A1613" s="496" t="s">
        <v>14</v>
      </c>
      <c r="B1613" s="497" t="s">
        <v>14</v>
      </c>
      <c r="C1613" s="497" t="s">
        <v>37</v>
      </c>
      <c r="D1613" s="497" t="s">
        <v>440</v>
      </c>
      <c r="E1613" s="497" t="s">
        <v>16</v>
      </c>
      <c r="F1613" s="497" t="s">
        <v>185</v>
      </c>
      <c r="G1613" s="497" t="s">
        <v>178</v>
      </c>
      <c r="H1613" s="497" t="s">
        <v>179</v>
      </c>
      <c r="I1613" s="497" t="s">
        <v>180</v>
      </c>
      <c r="J1613" s="497" t="s">
        <v>1275</v>
      </c>
      <c r="K1613" s="497" t="s">
        <v>200</v>
      </c>
      <c r="L1613" s="496" t="s">
        <v>180</v>
      </c>
      <c r="M1613" s="496" t="s">
        <v>181</v>
      </c>
      <c r="N1613" s="496" t="s">
        <v>200</v>
      </c>
      <c r="O1613" s="640" t="e">
        <f t="shared" si="245"/>
        <v>#VALUE!</v>
      </c>
      <c r="P1613" s="498"/>
      <c r="Q1613" s="635" t="e">
        <f t="shared" si="246"/>
        <v>#VALUE!</v>
      </c>
      <c r="R1613" s="498"/>
      <c r="S1613" s="498"/>
      <c r="T1613" s="499"/>
    </row>
    <row r="1614" spans="1:20" s="579" customFormat="1" ht="46.5" customHeight="1">
      <c r="A1614" s="572"/>
      <c r="B1614" s="572"/>
      <c r="C1614" s="573" t="s">
        <v>49</v>
      </c>
      <c r="D1614" s="574"/>
      <c r="E1614" s="574"/>
      <c r="F1614" s="575" t="s">
        <v>129</v>
      </c>
      <c r="G1614" s="576"/>
      <c r="H1614" s="576"/>
      <c r="I1614" s="577">
        <f>SUM(I1615,I1618,I1623,I1625,I1629,I1621)</f>
        <v>437682</v>
      </c>
      <c r="J1614" s="577">
        <f>SUM(J1615,J1618,J1623,J1625,J1629,J1621)</f>
        <v>53800</v>
      </c>
      <c r="K1614" s="577">
        <f>I1614+J1614</f>
        <v>491482</v>
      </c>
      <c r="L1614" s="578">
        <f>SUM(L1615,L1618,L1623,L1625,L1629,L1621)</f>
        <v>437682</v>
      </c>
      <c r="M1614" s="578">
        <f>SUM(M1615,M1618,M1623,M1625,M1629,M1621)</f>
        <v>53800</v>
      </c>
      <c r="N1614" s="578">
        <f>L1614+M1614</f>
        <v>491482</v>
      </c>
      <c r="O1614" s="644">
        <f t="shared" si="245"/>
        <v>21520</v>
      </c>
      <c r="Q1614" s="635">
        <f t="shared" si="246"/>
        <v>21520</v>
      </c>
    </row>
    <row r="1615" spans="1:20" s="510" customFormat="1" ht="72" hidden="1" customHeight="1">
      <c r="A1615" s="501"/>
      <c r="B1615" s="502"/>
      <c r="C1615" s="503" t="s">
        <v>292</v>
      </c>
      <c r="D1615" s="504"/>
      <c r="E1615" s="505"/>
      <c r="F1615" s="504"/>
      <c r="G1615" s="504"/>
      <c r="H1615" s="504"/>
      <c r="I1615" s="506">
        <f>SUM(I1616,I1617)</f>
        <v>84699</v>
      </c>
      <c r="J1615" s="506">
        <f>SUM(J1616,J1617)</f>
        <v>5343</v>
      </c>
      <c r="K1615" s="506">
        <f>I1615+J1615</f>
        <v>90042</v>
      </c>
      <c r="L1615" s="507">
        <f>SUM(L1616,L1617)</f>
        <v>84699</v>
      </c>
      <c r="M1615" s="507">
        <f>SUM(M1616,M1617)</f>
        <v>5343</v>
      </c>
      <c r="N1615" s="507">
        <f>L1615+M1615</f>
        <v>90042</v>
      </c>
      <c r="O1615" s="640">
        <f t="shared" si="245"/>
        <v>2137.1999999999998</v>
      </c>
      <c r="P1615" s="508"/>
      <c r="Q1615" s="635">
        <f t="shared" si="246"/>
        <v>2137.1999999999998</v>
      </c>
      <c r="R1615" s="508"/>
      <c r="S1615" s="508"/>
      <c r="T1615" s="509"/>
    </row>
    <row r="1616" spans="1:20" ht="54.75" hidden="1" customHeight="1">
      <c r="A1616" s="273" t="s">
        <v>337</v>
      </c>
      <c r="B1616" s="481" t="s">
        <v>1172</v>
      </c>
      <c r="C1616" s="490" t="s">
        <v>262</v>
      </c>
      <c r="D1616" s="483">
        <v>8100</v>
      </c>
      <c r="E1616" s="484">
        <v>108288</v>
      </c>
      <c r="F1616" s="526" t="s">
        <v>170</v>
      </c>
      <c r="G1616" s="488" t="s">
        <v>147</v>
      </c>
      <c r="H1616" s="489">
        <v>1</v>
      </c>
      <c r="I1616" s="473">
        <f>INT(L1616*$Q$139)</f>
        <v>84699</v>
      </c>
      <c r="J1616" s="473">
        <f>INT(M1616*$R$139)</f>
        <v>0</v>
      </c>
      <c r="K1616" s="473">
        <f>SUM(I1616:J1616)</f>
        <v>84699</v>
      </c>
      <c r="L1616" s="167">
        <v>84699</v>
      </c>
      <c r="M1616" s="167"/>
      <c r="N1616" s="167">
        <f>SUM(L1616,M1616)</f>
        <v>84699</v>
      </c>
      <c r="O1616" s="640">
        <f t="shared" si="245"/>
        <v>0</v>
      </c>
      <c r="P1616" s="405"/>
      <c r="Q1616" s="635">
        <f t="shared" si="246"/>
        <v>0</v>
      </c>
    </row>
    <row r="1617" spans="1:20" ht="54.75" customHeight="1">
      <c r="A1617" s="273"/>
      <c r="B1617" s="481" t="s">
        <v>1191</v>
      </c>
      <c r="C1617" s="490" t="s">
        <v>1230</v>
      </c>
      <c r="D1617" s="483">
        <v>8100</v>
      </c>
      <c r="E1617" s="484">
        <v>108288</v>
      </c>
      <c r="F1617" s="526" t="s">
        <v>170</v>
      </c>
      <c r="G1617" s="488" t="s">
        <v>1294</v>
      </c>
      <c r="H1617" s="487">
        <v>1</v>
      </c>
      <c r="I1617" s="473">
        <f>INT(L1617*$Q$139)</f>
        <v>0</v>
      </c>
      <c r="J1617" s="473">
        <f>INT(M1617*$R$139)</f>
        <v>5343</v>
      </c>
      <c r="K1617" s="473">
        <f>SUM(I1617:J1617)</f>
        <v>5343</v>
      </c>
      <c r="L1617" s="167"/>
      <c r="M1617" s="167">
        <v>5343</v>
      </c>
      <c r="N1617" s="167">
        <f>SUM(L1617,M1617)</f>
        <v>5343</v>
      </c>
      <c r="O1617" s="640">
        <f t="shared" si="245"/>
        <v>2137.1999999999998</v>
      </c>
      <c r="P1617" s="405"/>
      <c r="Q1617" s="635">
        <f t="shared" si="246"/>
        <v>2137.1999999999998</v>
      </c>
    </row>
    <row r="1618" spans="1:20" s="510" customFormat="1" ht="72" hidden="1" customHeight="1">
      <c r="A1618" s="501"/>
      <c r="B1618" s="502"/>
      <c r="C1618" s="503" t="s">
        <v>141</v>
      </c>
      <c r="D1618" s="504"/>
      <c r="E1618" s="505"/>
      <c r="F1618" s="504"/>
      <c r="G1618" s="504"/>
      <c r="H1618" s="504"/>
      <c r="I1618" s="506">
        <f>SUM(I1619,I1620)</f>
        <v>312942</v>
      </c>
      <c r="J1618" s="506"/>
      <c r="K1618" s="506">
        <f>I1618+J1618</f>
        <v>312942</v>
      </c>
      <c r="L1618" s="507">
        <f>SUM(L1619,L1620)</f>
        <v>312942</v>
      </c>
      <c r="M1618" s="507"/>
      <c r="N1618" s="507">
        <f>L1618+M1618</f>
        <v>312942</v>
      </c>
      <c r="O1618" s="640">
        <f t="shared" si="245"/>
        <v>0</v>
      </c>
      <c r="P1618" s="508"/>
      <c r="Q1618" s="635">
        <f t="shared" si="246"/>
        <v>0</v>
      </c>
      <c r="R1618" s="508"/>
      <c r="S1618" s="508"/>
      <c r="T1618" s="509"/>
    </row>
    <row r="1619" spans="1:20" ht="54.75" hidden="1" customHeight="1">
      <c r="A1619" s="273" t="s">
        <v>248</v>
      </c>
      <c r="B1619" s="481" t="s">
        <v>1173</v>
      </c>
      <c r="C1619" s="490" t="s">
        <v>317</v>
      </c>
      <c r="D1619" s="483">
        <v>8100</v>
      </c>
      <c r="E1619" s="484">
        <v>108288</v>
      </c>
      <c r="F1619" s="526" t="s">
        <v>170</v>
      </c>
      <c r="G1619" s="488" t="s">
        <v>143</v>
      </c>
      <c r="H1619" s="489">
        <v>2242</v>
      </c>
      <c r="I1619" s="473">
        <f>INT(L1619*$Q$139)</f>
        <v>278553</v>
      </c>
      <c r="J1619" s="473">
        <f>INT(M1619*$R$139)</f>
        <v>0</v>
      </c>
      <c r="K1619" s="473">
        <f>SUM(I1619:J1619)</f>
        <v>278553</v>
      </c>
      <c r="L1619" s="167">
        <v>278553</v>
      </c>
      <c r="M1619" s="167"/>
      <c r="N1619" s="167">
        <f>SUM(L1619,M1619)</f>
        <v>278553</v>
      </c>
      <c r="O1619" s="640">
        <f t="shared" si="245"/>
        <v>0</v>
      </c>
      <c r="P1619" s="405"/>
      <c r="Q1619" s="635">
        <f t="shared" si="246"/>
        <v>0</v>
      </c>
    </row>
    <row r="1620" spans="1:20" ht="54.75" hidden="1" customHeight="1">
      <c r="A1620" s="273" t="s">
        <v>512</v>
      </c>
      <c r="B1620" s="481" t="s">
        <v>1200</v>
      </c>
      <c r="C1620" s="490" t="s">
        <v>506</v>
      </c>
      <c r="D1620" s="483">
        <v>8100</v>
      </c>
      <c r="E1620" s="484">
        <v>108288</v>
      </c>
      <c r="F1620" s="526" t="s">
        <v>170</v>
      </c>
      <c r="G1620" s="488" t="s">
        <v>331</v>
      </c>
      <c r="H1620" s="489">
        <v>1</v>
      </c>
      <c r="I1620" s="473">
        <f>INT(L1620*$Q$139)</f>
        <v>34389</v>
      </c>
      <c r="J1620" s="473">
        <f>INT(M1620*$R$139)</f>
        <v>0</v>
      </c>
      <c r="K1620" s="473">
        <f>SUM(I1620:J1620)</f>
        <v>34389</v>
      </c>
      <c r="L1620" s="167">
        <v>34389</v>
      </c>
      <c r="M1620" s="167"/>
      <c r="N1620" s="167">
        <f>SUM(L1620,M1620)</f>
        <v>34389</v>
      </c>
      <c r="O1620" s="640">
        <f t="shared" si="245"/>
        <v>0</v>
      </c>
      <c r="P1620" s="405"/>
      <c r="Q1620" s="635">
        <f t="shared" si="246"/>
        <v>0</v>
      </c>
    </row>
    <row r="1621" spans="1:20" s="510" customFormat="1" ht="72" hidden="1" customHeight="1">
      <c r="A1621" s="501"/>
      <c r="B1621" s="502"/>
      <c r="C1621" s="503" t="s">
        <v>310</v>
      </c>
      <c r="D1621" s="504"/>
      <c r="E1621" s="505"/>
      <c r="F1621" s="504"/>
      <c r="G1621" s="504"/>
      <c r="H1621" s="504"/>
      <c r="I1621" s="506">
        <f>SUM(I1622)</f>
        <v>0</v>
      </c>
      <c r="J1621" s="506">
        <f>SUM(J1622)</f>
        <v>30278</v>
      </c>
      <c r="K1621" s="506">
        <f>I1621+J1621</f>
        <v>30278</v>
      </c>
      <c r="L1621" s="507">
        <f>SUM(L1622)</f>
        <v>0</v>
      </c>
      <c r="M1621" s="507">
        <f>SUM(M1622)</f>
        <v>30278</v>
      </c>
      <c r="N1621" s="507">
        <f>L1621+M1621</f>
        <v>30278</v>
      </c>
      <c r="O1621" s="640">
        <f t="shared" si="245"/>
        <v>12111.199999999999</v>
      </c>
      <c r="P1621" s="508"/>
      <c r="Q1621" s="635">
        <f t="shared" si="246"/>
        <v>12111.2</v>
      </c>
      <c r="R1621" s="508"/>
      <c r="S1621" s="508"/>
      <c r="T1621" s="509"/>
    </row>
    <row r="1622" spans="1:20" ht="54.75" customHeight="1">
      <c r="A1622" s="273"/>
      <c r="B1622" s="481" t="s">
        <v>1027</v>
      </c>
      <c r="C1622" s="490" t="s">
        <v>681</v>
      </c>
      <c r="D1622" s="483">
        <v>8100</v>
      </c>
      <c r="E1622" s="484">
        <v>108288</v>
      </c>
      <c r="F1622" s="526" t="s">
        <v>170</v>
      </c>
      <c r="G1622" s="488" t="s">
        <v>1075</v>
      </c>
      <c r="H1622" s="487">
        <v>1</v>
      </c>
      <c r="I1622" s="473">
        <f>INT(L1622*$Q$139)</f>
        <v>0</v>
      </c>
      <c r="J1622" s="473">
        <f>INT(M1622*$R$139)</f>
        <v>30278</v>
      </c>
      <c r="K1622" s="473">
        <f>SUM(I1622:J1622)</f>
        <v>30278</v>
      </c>
      <c r="L1622" s="167"/>
      <c r="M1622" s="167">
        <v>30278</v>
      </c>
      <c r="N1622" s="167">
        <f>L1622+M1622</f>
        <v>30278</v>
      </c>
      <c r="O1622" s="640">
        <f t="shared" si="245"/>
        <v>12111.199999999999</v>
      </c>
      <c r="P1622" s="405"/>
      <c r="Q1622" s="635">
        <f t="shared" si="246"/>
        <v>12111.2</v>
      </c>
    </row>
    <row r="1623" spans="1:20" s="510" customFormat="1" ht="72" hidden="1" customHeight="1">
      <c r="A1623" s="501"/>
      <c r="B1623" s="502"/>
      <c r="C1623" s="503" t="s">
        <v>278</v>
      </c>
      <c r="D1623" s="504"/>
      <c r="E1623" s="505"/>
      <c r="F1623" s="504"/>
      <c r="G1623" s="504"/>
      <c r="H1623" s="504"/>
      <c r="I1623" s="506">
        <f>SUM(I1624)</f>
        <v>30951</v>
      </c>
      <c r="J1623" s="506">
        <f>SUM(J1624)</f>
        <v>0</v>
      </c>
      <c r="K1623" s="506">
        <f>I1623+J1623</f>
        <v>30951</v>
      </c>
      <c r="L1623" s="507">
        <f>SUM(L1624)</f>
        <v>30951</v>
      </c>
      <c r="M1623" s="507">
        <f>SUM(M1624)</f>
        <v>0</v>
      </c>
      <c r="N1623" s="507">
        <f>L1623+M1623</f>
        <v>30951</v>
      </c>
      <c r="O1623" s="640">
        <f t="shared" si="245"/>
        <v>0</v>
      </c>
      <c r="P1623" s="508"/>
      <c r="Q1623" s="635">
        <f t="shared" si="246"/>
        <v>0</v>
      </c>
      <c r="R1623" s="508"/>
      <c r="S1623" s="508"/>
      <c r="T1623" s="509"/>
    </row>
    <row r="1624" spans="1:20" ht="54.75" hidden="1" customHeight="1">
      <c r="A1624" s="273" t="s">
        <v>507</v>
      </c>
      <c r="B1624" s="481" t="s">
        <v>1072</v>
      </c>
      <c r="C1624" s="490" t="s">
        <v>508</v>
      </c>
      <c r="D1624" s="483">
        <v>8100</v>
      </c>
      <c r="E1624" s="484" t="s">
        <v>686</v>
      </c>
      <c r="F1624" s="526" t="s">
        <v>170</v>
      </c>
      <c r="G1624" s="488" t="s">
        <v>18</v>
      </c>
      <c r="H1624" s="489">
        <v>32</v>
      </c>
      <c r="I1624" s="473">
        <f>INT(L1624*$Q$139)</f>
        <v>30951</v>
      </c>
      <c r="J1624" s="473">
        <f>INT(M1624*$R$139)</f>
        <v>0</v>
      </c>
      <c r="K1624" s="473">
        <f>SUM(I1624:J1624)</f>
        <v>30951</v>
      </c>
      <c r="L1624" s="167">
        <v>30951</v>
      </c>
      <c r="M1624" s="167"/>
      <c r="N1624" s="167">
        <f>SUM(L1624,M1624)</f>
        <v>30951</v>
      </c>
      <c r="O1624" s="640">
        <f t="shared" si="245"/>
        <v>0</v>
      </c>
      <c r="P1624" s="405"/>
      <c r="Q1624" s="635">
        <f t="shared" si="246"/>
        <v>0</v>
      </c>
    </row>
    <row r="1625" spans="1:20" ht="41.25" hidden="1" customHeight="1">
      <c r="A1625" s="149"/>
      <c r="B1625" s="434"/>
      <c r="C1625" s="143" t="s">
        <v>274</v>
      </c>
      <c r="D1625" s="144"/>
      <c r="E1625" s="144"/>
      <c r="F1625" s="137"/>
      <c r="G1625" s="143"/>
      <c r="H1625" s="135"/>
      <c r="I1625" s="391">
        <f t="shared" ref="I1625:N1625" si="249">SUM(I1626:I1628)</f>
        <v>0</v>
      </c>
      <c r="J1625" s="391">
        <f t="shared" si="249"/>
        <v>0</v>
      </c>
      <c r="K1625" s="391">
        <f t="shared" si="249"/>
        <v>0</v>
      </c>
      <c r="L1625" s="391">
        <f t="shared" si="249"/>
        <v>0</v>
      </c>
      <c r="M1625" s="391">
        <f t="shared" si="249"/>
        <v>0</v>
      </c>
      <c r="N1625" s="391">
        <f t="shared" si="249"/>
        <v>0</v>
      </c>
      <c r="O1625" s="640">
        <f t="shared" si="245"/>
        <v>0</v>
      </c>
      <c r="Q1625" s="635">
        <f t="shared" si="246"/>
        <v>0</v>
      </c>
    </row>
    <row r="1626" spans="1:20" ht="48.75" hidden="1" customHeight="1">
      <c r="A1626" s="35" t="s">
        <v>439</v>
      </c>
      <c r="B1626" s="443" t="s">
        <v>835</v>
      </c>
      <c r="C1626" s="183" t="s">
        <v>681</v>
      </c>
      <c r="D1626" s="228">
        <v>112</v>
      </c>
      <c r="E1626" s="229" t="s">
        <v>795</v>
      </c>
      <c r="F1626" s="230" t="s">
        <v>170</v>
      </c>
      <c r="G1626" s="237" t="s">
        <v>725</v>
      </c>
      <c r="H1626" s="251">
        <v>1</v>
      </c>
      <c r="I1626" s="388">
        <f>INT(L1626*$Q$139)</f>
        <v>0</v>
      </c>
      <c r="J1626" s="388">
        <f>INT(M1626*$R$139)</f>
        <v>0</v>
      </c>
      <c r="K1626" s="388">
        <f>SUM(I1626:J1626)</f>
        <v>0</v>
      </c>
      <c r="L1626" s="167"/>
      <c r="M1626" s="167"/>
      <c r="N1626" s="167">
        <f>SUM(L1626,M1626)</f>
        <v>0</v>
      </c>
      <c r="O1626" s="640">
        <f t="shared" si="245"/>
        <v>0</v>
      </c>
      <c r="Q1626" s="635">
        <f t="shared" si="246"/>
        <v>0</v>
      </c>
    </row>
    <row r="1627" spans="1:20" ht="48.75" hidden="1" customHeight="1">
      <c r="A1627" s="35" t="s">
        <v>439</v>
      </c>
      <c r="B1627" s="443" t="s">
        <v>837</v>
      </c>
      <c r="C1627" s="241" t="s">
        <v>316</v>
      </c>
      <c r="D1627" s="228">
        <v>112</v>
      </c>
      <c r="E1627" s="229" t="s">
        <v>795</v>
      </c>
      <c r="F1627" s="230" t="s">
        <v>170</v>
      </c>
      <c r="G1627" s="242" t="s">
        <v>315</v>
      </c>
      <c r="H1627" s="251">
        <v>1</v>
      </c>
      <c r="I1627" s="388">
        <f>INT(L1627*$Q$139)</f>
        <v>0</v>
      </c>
      <c r="J1627" s="388">
        <f>INT(M1627*$R$139)</f>
        <v>0</v>
      </c>
      <c r="K1627" s="388">
        <f>SUM(I1627:J1627)</f>
        <v>0</v>
      </c>
      <c r="L1627" s="167"/>
      <c r="M1627" s="167"/>
      <c r="N1627" s="167">
        <f>SUM(L1627,M1627)</f>
        <v>0</v>
      </c>
      <c r="O1627" s="640">
        <f t="shared" si="245"/>
        <v>0</v>
      </c>
      <c r="Q1627" s="635">
        <f t="shared" si="246"/>
        <v>0</v>
      </c>
    </row>
    <row r="1628" spans="1:20" ht="48.75" hidden="1" customHeight="1">
      <c r="A1628" s="35"/>
      <c r="B1628" s="443" t="s">
        <v>839</v>
      </c>
      <c r="C1628" s="272" t="s">
        <v>448</v>
      </c>
      <c r="D1628" s="228">
        <v>112</v>
      </c>
      <c r="E1628" s="229" t="s">
        <v>795</v>
      </c>
      <c r="F1628" s="230" t="s">
        <v>170</v>
      </c>
      <c r="G1628" s="248" t="s">
        <v>159</v>
      </c>
      <c r="H1628" s="231">
        <v>1</v>
      </c>
      <c r="I1628" s="388">
        <f>INT(L1628*$Q$139)</f>
        <v>0</v>
      </c>
      <c r="J1628" s="388">
        <f>INT(M1628*$R$139)</f>
        <v>0</v>
      </c>
      <c r="K1628" s="388">
        <f>SUM(I1628:J1628)</f>
        <v>0</v>
      </c>
      <c r="L1628" s="167"/>
      <c r="M1628" s="167"/>
      <c r="N1628" s="167">
        <f>SUM(L1628,M1628)</f>
        <v>0</v>
      </c>
      <c r="O1628" s="640">
        <f t="shared" si="245"/>
        <v>0</v>
      </c>
      <c r="Q1628" s="635">
        <f t="shared" si="246"/>
        <v>0</v>
      </c>
    </row>
    <row r="1629" spans="1:20" s="510" customFormat="1" ht="72" hidden="1" customHeight="1">
      <c r="A1629" s="501"/>
      <c r="B1629" s="502"/>
      <c r="C1629" s="503" t="s">
        <v>312</v>
      </c>
      <c r="D1629" s="504"/>
      <c r="E1629" s="505"/>
      <c r="F1629" s="504"/>
      <c r="G1629" s="504"/>
      <c r="H1629" s="504"/>
      <c r="I1629" s="506">
        <f>SUM(I1630:I1631)</f>
        <v>9090</v>
      </c>
      <c r="J1629" s="506">
        <f>SUM(J1630:J1631)</f>
        <v>18179</v>
      </c>
      <c r="K1629" s="506">
        <f>I1629+J1629</f>
        <v>27269</v>
      </c>
      <c r="L1629" s="507">
        <f>SUM(L1630:L1631)</f>
        <v>9090</v>
      </c>
      <c r="M1629" s="507">
        <f>SUM(M1630:M1631)</f>
        <v>18179</v>
      </c>
      <c r="N1629" s="507">
        <f>L1629+M1629</f>
        <v>27269</v>
      </c>
      <c r="O1629" s="640">
        <f t="shared" si="245"/>
        <v>7271.5999999999995</v>
      </c>
      <c r="P1629" s="508"/>
      <c r="Q1629" s="635">
        <f t="shared" si="246"/>
        <v>7271.6</v>
      </c>
      <c r="R1629" s="508"/>
      <c r="S1629" s="508"/>
      <c r="T1629" s="509"/>
    </row>
    <row r="1630" spans="1:20" ht="54.75" customHeight="1">
      <c r="A1630" s="273" t="s">
        <v>439</v>
      </c>
      <c r="B1630" s="481" t="s">
        <v>1030</v>
      </c>
      <c r="C1630" s="490" t="s">
        <v>316</v>
      </c>
      <c r="D1630" s="483">
        <v>8100</v>
      </c>
      <c r="E1630" s="484">
        <v>108288</v>
      </c>
      <c r="F1630" s="526" t="s">
        <v>170</v>
      </c>
      <c r="G1630" s="488" t="s">
        <v>315</v>
      </c>
      <c r="H1630" s="487">
        <v>1</v>
      </c>
      <c r="I1630" s="473">
        <f>INT(L1630*$Q$139)</f>
        <v>9090</v>
      </c>
      <c r="J1630" s="473">
        <f>INT(M1630*$R$139)</f>
        <v>18179</v>
      </c>
      <c r="K1630" s="473">
        <f>SUM(I1630:J1630)</f>
        <v>27269</v>
      </c>
      <c r="L1630" s="167">
        <v>9090</v>
      </c>
      <c r="M1630" s="167">
        <v>18179</v>
      </c>
      <c r="N1630" s="167">
        <f>SUM(L1630,M1630)</f>
        <v>27269</v>
      </c>
      <c r="O1630" s="640">
        <f t="shared" si="245"/>
        <v>7271.5999999999995</v>
      </c>
      <c r="P1630" s="405"/>
      <c r="Q1630" s="635">
        <f t="shared" si="246"/>
        <v>7271.6</v>
      </c>
    </row>
    <row r="1631" spans="1:20" ht="54.75" hidden="1" customHeight="1">
      <c r="A1631" s="273"/>
      <c r="B1631" s="481" t="s">
        <v>1188</v>
      </c>
      <c r="C1631" s="490" t="s">
        <v>1074</v>
      </c>
      <c r="D1631" s="483">
        <v>112</v>
      </c>
      <c r="E1631" s="484">
        <v>108288</v>
      </c>
      <c r="F1631" s="526" t="s">
        <v>170</v>
      </c>
      <c r="G1631" s="488" t="s">
        <v>1075</v>
      </c>
      <c r="H1631" s="489"/>
      <c r="I1631" s="473">
        <f>INT(L1631*$Q$139)</f>
        <v>0</v>
      </c>
      <c r="J1631" s="473">
        <f>INT(M1631*$R$139)</f>
        <v>0</v>
      </c>
      <c r="K1631" s="473">
        <f>SUM(I1631:J1631)</f>
        <v>0</v>
      </c>
      <c r="L1631" s="167"/>
      <c r="M1631" s="167"/>
      <c r="N1631" s="167">
        <f>L1631+M1631</f>
        <v>0</v>
      </c>
      <c r="O1631" s="640">
        <f t="shared" si="245"/>
        <v>0</v>
      </c>
      <c r="P1631" s="405"/>
      <c r="Q1631" s="635">
        <f t="shared" si="246"/>
        <v>0</v>
      </c>
    </row>
    <row r="1632" spans="1:20" s="579" customFormat="1" ht="46.5" customHeight="1">
      <c r="A1632" s="572"/>
      <c r="B1632" s="572"/>
      <c r="C1632" s="573" t="s">
        <v>525</v>
      </c>
      <c r="D1632" s="574"/>
      <c r="E1632" s="574"/>
      <c r="F1632" s="575" t="s">
        <v>696</v>
      </c>
      <c r="G1632" s="576"/>
      <c r="H1632" s="576"/>
      <c r="I1632" s="577">
        <f>SUM(I1633,I1635,I1638,I1641)</f>
        <v>60486</v>
      </c>
      <c r="J1632" s="577">
        <f>SUM(J1633,J1635,J1638,J1641)</f>
        <v>9500</v>
      </c>
      <c r="K1632" s="577">
        <f>I1632+J1632</f>
        <v>69986</v>
      </c>
      <c r="L1632" s="578">
        <f>SUM(L1633,L1635,L1638,L1641)</f>
        <v>60486</v>
      </c>
      <c r="M1632" s="578">
        <f>SUM(M1633,M1635,M1638,M1641)</f>
        <v>9500</v>
      </c>
      <c r="N1632" s="578">
        <f>L1632+M1632</f>
        <v>69986</v>
      </c>
      <c r="O1632" s="644">
        <f t="shared" si="245"/>
        <v>3800</v>
      </c>
      <c r="Q1632" s="635">
        <f t="shared" si="246"/>
        <v>3800</v>
      </c>
    </row>
    <row r="1633" spans="1:20" s="510" customFormat="1" ht="72" hidden="1" customHeight="1">
      <c r="A1633" s="501"/>
      <c r="B1633" s="502"/>
      <c r="C1633" s="503" t="s">
        <v>141</v>
      </c>
      <c r="D1633" s="504"/>
      <c r="E1633" s="505"/>
      <c r="F1633" s="504"/>
      <c r="G1633" s="504"/>
      <c r="H1633" s="504"/>
      <c r="I1633" s="506">
        <f>SUM(I1634:I1634)</f>
        <v>44486</v>
      </c>
      <c r="J1633" s="506"/>
      <c r="K1633" s="506">
        <f>I1633+J1633</f>
        <v>44486</v>
      </c>
      <c r="L1633" s="507">
        <f>SUM(L1634:L1634)</f>
        <v>44486</v>
      </c>
      <c r="M1633" s="507"/>
      <c r="N1633" s="507">
        <f>L1633+M1633</f>
        <v>44486</v>
      </c>
      <c r="O1633" s="640">
        <f t="shared" si="245"/>
        <v>0</v>
      </c>
      <c r="P1633" s="508"/>
      <c r="Q1633" s="635">
        <f t="shared" si="246"/>
        <v>0</v>
      </c>
      <c r="R1633" s="508"/>
      <c r="S1633" s="508"/>
      <c r="T1633" s="509"/>
    </row>
    <row r="1634" spans="1:20" ht="54.75" hidden="1" customHeight="1">
      <c r="A1634" s="273" t="s">
        <v>248</v>
      </c>
      <c r="B1634" s="481" t="s">
        <v>1173</v>
      </c>
      <c r="C1634" s="490" t="s">
        <v>317</v>
      </c>
      <c r="D1634" s="483">
        <v>8100</v>
      </c>
      <c r="E1634" s="484">
        <v>108288</v>
      </c>
      <c r="F1634" s="526" t="s">
        <v>545</v>
      </c>
      <c r="G1634" s="488" t="s">
        <v>143</v>
      </c>
      <c r="H1634" s="489">
        <v>249</v>
      </c>
      <c r="I1634" s="473">
        <f>INT(L1634*$Q$139)</f>
        <v>44486</v>
      </c>
      <c r="J1634" s="473">
        <f>INT(M1634*$R$139)</f>
        <v>0</v>
      </c>
      <c r="K1634" s="473">
        <f>SUM(I1634:J1634)</f>
        <v>44486</v>
      </c>
      <c r="L1634" s="167">
        <v>44486</v>
      </c>
      <c r="M1634" s="167"/>
      <c r="N1634" s="167">
        <f>SUM(L1634,M1634)</f>
        <v>44486</v>
      </c>
      <c r="O1634" s="640">
        <f t="shared" si="245"/>
        <v>0</v>
      </c>
      <c r="P1634" s="405"/>
      <c r="Q1634" s="635">
        <f t="shared" si="246"/>
        <v>0</v>
      </c>
    </row>
    <row r="1635" spans="1:20" s="510" customFormat="1" ht="72" hidden="1" customHeight="1">
      <c r="A1635" s="501"/>
      <c r="B1635" s="502"/>
      <c r="C1635" s="503" t="s">
        <v>310</v>
      </c>
      <c r="D1635" s="504"/>
      <c r="E1635" s="505"/>
      <c r="F1635" s="504"/>
      <c r="G1635" s="504"/>
      <c r="H1635" s="504"/>
      <c r="I1635" s="506">
        <f>SUM(I1636:I1637)</f>
        <v>16000</v>
      </c>
      <c r="J1635" s="506">
        <f>SUM(J1636:J1637)</f>
        <v>8178</v>
      </c>
      <c r="K1635" s="506">
        <f>I1635+J1635</f>
        <v>24178</v>
      </c>
      <c r="L1635" s="507">
        <f>SUM(L1636:L1637)</f>
        <v>16000</v>
      </c>
      <c r="M1635" s="507">
        <f>SUM(M1636:M1637)</f>
        <v>8178</v>
      </c>
      <c r="N1635" s="507">
        <f>L1635+M1635</f>
        <v>24178</v>
      </c>
      <c r="O1635" s="640">
        <f t="shared" si="245"/>
        <v>3271.2</v>
      </c>
      <c r="P1635" s="508"/>
      <c r="Q1635" s="635">
        <f t="shared" si="246"/>
        <v>3271.2</v>
      </c>
      <c r="R1635" s="508"/>
      <c r="S1635" s="508"/>
      <c r="T1635" s="509"/>
    </row>
    <row r="1636" spans="1:20" ht="54.75" customHeight="1">
      <c r="A1636" s="273" t="s">
        <v>247</v>
      </c>
      <c r="B1636" s="481" t="s">
        <v>1027</v>
      </c>
      <c r="C1636" s="490" t="s">
        <v>681</v>
      </c>
      <c r="D1636" s="483">
        <v>8100</v>
      </c>
      <c r="E1636" s="484">
        <v>108288</v>
      </c>
      <c r="F1636" s="526" t="s">
        <v>545</v>
      </c>
      <c r="G1636" s="488" t="s">
        <v>725</v>
      </c>
      <c r="H1636" s="489">
        <v>1</v>
      </c>
      <c r="I1636" s="473">
        <f>INT(L1636*$Q$139)</f>
        <v>16000</v>
      </c>
      <c r="J1636" s="473">
        <f>INT(M1636*$R$139)</f>
        <v>8178</v>
      </c>
      <c r="K1636" s="473">
        <f>SUM(I1636:J1636)</f>
        <v>24178</v>
      </c>
      <c r="L1636" s="167">
        <v>16000</v>
      </c>
      <c r="M1636" s="167">
        <v>8178</v>
      </c>
      <c r="N1636" s="167">
        <f>SUM(L1636,M1636)</f>
        <v>24178</v>
      </c>
      <c r="O1636" s="640">
        <f t="shared" si="245"/>
        <v>3271.2</v>
      </c>
      <c r="P1636" s="405"/>
      <c r="Q1636" s="635">
        <f t="shared" si="246"/>
        <v>3271.2</v>
      </c>
    </row>
    <row r="1637" spans="1:20" ht="54.75" hidden="1" customHeight="1">
      <c r="A1637" s="273"/>
      <c r="B1637" s="481" t="s">
        <v>1186</v>
      </c>
      <c r="C1637" s="490" t="s">
        <v>1074</v>
      </c>
      <c r="D1637" s="483">
        <v>112</v>
      </c>
      <c r="E1637" s="484">
        <v>108288</v>
      </c>
      <c r="F1637" s="526" t="s">
        <v>545</v>
      </c>
      <c r="G1637" s="488" t="s">
        <v>1075</v>
      </c>
      <c r="H1637" s="489"/>
      <c r="I1637" s="473">
        <f>INT(L1637*$Q$139)</f>
        <v>0</v>
      </c>
      <c r="J1637" s="473">
        <f>INT(M1637*$R$139)</f>
        <v>0</v>
      </c>
      <c r="K1637" s="473">
        <f>SUM(I1637:J1637)</f>
        <v>0</v>
      </c>
      <c r="L1637" s="167"/>
      <c r="M1637" s="167"/>
      <c r="N1637" s="167">
        <f>L1637+M1637</f>
        <v>0</v>
      </c>
      <c r="O1637" s="640">
        <f t="shared" si="245"/>
        <v>0</v>
      </c>
      <c r="P1637" s="405"/>
      <c r="Q1637" s="635">
        <f t="shared" si="246"/>
        <v>0</v>
      </c>
    </row>
    <row r="1638" spans="1:20" ht="41.25" hidden="1" customHeight="1">
      <c r="A1638" s="149"/>
      <c r="B1638" s="434"/>
      <c r="C1638" s="143" t="s">
        <v>274</v>
      </c>
      <c r="D1638" s="144"/>
      <c r="E1638" s="144"/>
      <c r="F1638" s="137"/>
      <c r="G1638" s="143"/>
      <c r="H1638" s="135"/>
      <c r="I1638" s="391">
        <f t="shared" ref="I1638:N1638" si="250">SUM(I1639:I1640)</f>
        <v>0</v>
      </c>
      <c r="J1638" s="391">
        <f t="shared" si="250"/>
        <v>0</v>
      </c>
      <c r="K1638" s="391">
        <f t="shared" si="250"/>
        <v>0</v>
      </c>
      <c r="L1638" s="391">
        <f t="shared" si="250"/>
        <v>0</v>
      </c>
      <c r="M1638" s="391">
        <f t="shared" si="250"/>
        <v>0</v>
      </c>
      <c r="N1638" s="391">
        <f t="shared" si="250"/>
        <v>0</v>
      </c>
      <c r="O1638" s="640">
        <f t="shared" si="245"/>
        <v>0</v>
      </c>
      <c r="Q1638" s="635">
        <f t="shared" si="246"/>
        <v>0</v>
      </c>
    </row>
    <row r="1639" spans="1:20" ht="48.75" hidden="1" customHeight="1">
      <c r="A1639" s="35" t="s">
        <v>439</v>
      </c>
      <c r="B1639" s="443" t="s">
        <v>835</v>
      </c>
      <c r="C1639" s="183" t="s">
        <v>681</v>
      </c>
      <c r="D1639" s="228">
        <v>112</v>
      </c>
      <c r="E1639" s="229" t="s">
        <v>795</v>
      </c>
      <c r="F1639" s="230" t="s">
        <v>545</v>
      </c>
      <c r="G1639" s="237" t="s">
        <v>725</v>
      </c>
      <c r="H1639" s="251">
        <v>1</v>
      </c>
      <c r="I1639" s="388">
        <f>INT(L1639*$Q$139)</f>
        <v>0</v>
      </c>
      <c r="J1639" s="388">
        <f>INT(M1639*$R$139)</f>
        <v>0</v>
      </c>
      <c r="K1639" s="388">
        <f>SUM(I1639:J1639)</f>
        <v>0</v>
      </c>
      <c r="L1639" s="167"/>
      <c r="M1639" s="167"/>
      <c r="N1639" s="167">
        <f>SUM(L1639,M1639)</f>
        <v>0</v>
      </c>
      <c r="O1639" s="640">
        <f t="shared" si="245"/>
        <v>0</v>
      </c>
      <c r="Q1639" s="635">
        <f t="shared" si="246"/>
        <v>0</v>
      </c>
    </row>
    <row r="1640" spans="1:20" ht="48.75" hidden="1" customHeight="1">
      <c r="A1640" s="35"/>
      <c r="B1640" s="443" t="s">
        <v>837</v>
      </c>
      <c r="C1640" s="241" t="s">
        <v>316</v>
      </c>
      <c r="D1640" s="228">
        <v>112</v>
      </c>
      <c r="E1640" s="229" t="s">
        <v>795</v>
      </c>
      <c r="F1640" s="230" t="s">
        <v>545</v>
      </c>
      <c r="G1640" s="242" t="s">
        <v>315</v>
      </c>
      <c r="H1640" s="271">
        <v>1</v>
      </c>
      <c r="I1640" s="388">
        <f>INT(L1640*$Q$139)</f>
        <v>0</v>
      </c>
      <c r="J1640" s="388">
        <f>INT(M1640*$R$139)</f>
        <v>0</v>
      </c>
      <c r="K1640" s="388">
        <f>SUM(I1640:J1640)</f>
        <v>0</v>
      </c>
      <c r="L1640" s="167"/>
      <c r="M1640" s="167"/>
      <c r="N1640" s="167">
        <f>SUM(L1640,M1640)</f>
        <v>0</v>
      </c>
      <c r="O1640" s="640">
        <f t="shared" ref="O1640:O1688" si="251">(J1640/100)*40</f>
        <v>0</v>
      </c>
      <c r="Q1640" s="635">
        <f t="shared" ref="Q1640:Q1690" si="252">($Q$932*J1640)/100</f>
        <v>0</v>
      </c>
    </row>
    <row r="1641" spans="1:20" s="510" customFormat="1" ht="72" hidden="1" customHeight="1">
      <c r="A1641" s="501"/>
      <c r="B1641" s="502"/>
      <c r="C1641" s="503" t="s">
        <v>312</v>
      </c>
      <c r="D1641" s="504"/>
      <c r="E1641" s="505"/>
      <c r="F1641" s="504"/>
      <c r="G1641" s="504"/>
      <c r="H1641" s="504"/>
      <c r="I1641" s="506">
        <f>I1642</f>
        <v>0</v>
      </c>
      <c r="J1641" s="506">
        <f>J1642</f>
        <v>1322</v>
      </c>
      <c r="K1641" s="506">
        <f>SUM(I1641,J1641)</f>
        <v>1322</v>
      </c>
      <c r="L1641" s="507">
        <f>L1642</f>
        <v>0</v>
      </c>
      <c r="M1641" s="507">
        <f>M1642</f>
        <v>1322</v>
      </c>
      <c r="N1641" s="507">
        <f>SUM(L1641,M1641)</f>
        <v>1322</v>
      </c>
      <c r="O1641" s="640">
        <f t="shared" si="251"/>
        <v>528.80000000000007</v>
      </c>
      <c r="P1641" s="508"/>
      <c r="Q1641" s="635">
        <f t="shared" si="252"/>
        <v>528.79999999999995</v>
      </c>
      <c r="R1641" s="508"/>
      <c r="S1641" s="508"/>
      <c r="T1641" s="509"/>
    </row>
    <row r="1642" spans="1:20" ht="54.75" customHeight="1">
      <c r="A1642" s="273"/>
      <c r="B1642" s="481" t="s">
        <v>1030</v>
      </c>
      <c r="C1642" s="490" t="s">
        <v>316</v>
      </c>
      <c r="D1642" s="483">
        <v>8100</v>
      </c>
      <c r="E1642" s="484">
        <v>108288</v>
      </c>
      <c r="F1642" s="526" t="s">
        <v>545</v>
      </c>
      <c r="G1642" s="488" t="s">
        <v>1075</v>
      </c>
      <c r="H1642" s="487">
        <v>1</v>
      </c>
      <c r="I1642" s="473">
        <f>INT(L1642*$Q$139)</f>
        <v>0</v>
      </c>
      <c r="J1642" s="473">
        <f>INT(M1642*$R$139)</f>
        <v>1322</v>
      </c>
      <c r="K1642" s="473">
        <f>SUM(I1642:J1642)</f>
        <v>1322</v>
      </c>
      <c r="L1642" s="167"/>
      <c r="M1642" s="167">
        <v>1322</v>
      </c>
      <c r="N1642" s="167">
        <f>L1642+M1642</f>
        <v>1322</v>
      </c>
      <c r="O1642" s="640">
        <f t="shared" si="251"/>
        <v>528.80000000000007</v>
      </c>
      <c r="P1642" s="405"/>
      <c r="Q1642" s="635">
        <f t="shared" si="252"/>
        <v>528.79999999999995</v>
      </c>
    </row>
    <row r="1643" spans="1:20" ht="83.25" hidden="1" customHeight="1">
      <c r="A1643" s="25"/>
      <c r="B1643" s="1287" t="s">
        <v>1276</v>
      </c>
      <c r="C1643" s="1287"/>
      <c r="D1643" s="1287"/>
      <c r="E1643" s="1287"/>
      <c r="F1643" s="1287"/>
      <c r="G1643" s="1287"/>
      <c r="H1643" s="1287"/>
      <c r="I1643" s="1287"/>
      <c r="J1643" s="1287"/>
      <c r="K1643" s="1287"/>
      <c r="L1643" s="338"/>
      <c r="M1643" s="338"/>
      <c r="N1643" s="338"/>
      <c r="O1643" s="640">
        <f t="shared" si="251"/>
        <v>0</v>
      </c>
      <c r="P1643" s="27"/>
      <c r="Q1643" s="635">
        <f t="shared" si="252"/>
        <v>0</v>
      </c>
      <c r="R1643" s="27"/>
      <c r="S1643" s="27"/>
      <c r="T1643" s="27"/>
    </row>
    <row r="1644" spans="1:20" ht="30" hidden="1" customHeight="1">
      <c r="C1644" s="1290"/>
      <c r="D1644" s="1290"/>
      <c r="E1644" s="1290"/>
      <c r="F1644" s="1290"/>
      <c r="G1644" s="1290"/>
      <c r="H1644" s="1290"/>
      <c r="I1644" s="1290"/>
      <c r="J1644" s="1290"/>
      <c r="K1644" s="1290"/>
      <c r="L1644" s="1290"/>
      <c r="M1644" s="1290"/>
      <c r="N1644" s="1290"/>
      <c r="O1644" s="640">
        <f t="shared" si="251"/>
        <v>0</v>
      </c>
      <c r="P1644" s="27"/>
      <c r="Q1644" s="635">
        <f t="shared" si="252"/>
        <v>0</v>
      </c>
      <c r="R1644" s="27"/>
      <c r="S1644" s="27"/>
      <c r="T1644" s="27"/>
    </row>
    <row r="1645" spans="1:20" ht="17.100000000000001" hidden="1" customHeight="1">
      <c r="A1645" s="118"/>
      <c r="B1645" s="118"/>
      <c r="C1645" s="119"/>
      <c r="D1645" s="119"/>
      <c r="E1645" s="119"/>
      <c r="F1645" s="120"/>
      <c r="G1645" s="121"/>
      <c r="H1645" s="122"/>
      <c r="I1645" s="122"/>
      <c r="J1645" s="122"/>
      <c r="K1645" s="122"/>
      <c r="L1645" s="123"/>
      <c r="M1645" s="124"/>
      <c r="N1645" s="124"/>
      <c r="O1645" s="640">
        <f t="shared" si="251"/>
        <v>0</v>
      </c>
      <c r="Q1645" s="635">
        <f t="shared" si="252"/>
        <v>0</v>
      </c>
    </row>
    <row r="1646" spans="1:20" ht="17.100000000000001" hidden="1" customHeight="1">
      <c r="A1646" s="118"/>
      <c r="B1646" s="118"/>
      <c r="C1646" s="119"/>
      <c r="D1646" s="119"/>
      <c r="E1646" s="119"/>
      <c r="F1646" s="120"/>
      <c r="G1646" s="121"/>
      <c r="H1646" s="122"/>
      <c r="I1646" s="122"/>
      <c r="J1646" s="122"/>
      <c r="K1646" s="122"/>
      <c r="L1646" s="123"/>
      <c r="M1646" s="124"/>
      <c r="N1646" s="124"/>
      <c r="O1646" s="640">
        <f t="shared" si="251"/>
        <v>0</v>
      </c>
      <c r="Q1646" s="635">
        <f t="shared" si="252"/>
        <v>0</v>
      </c>
    </row>
    <row r="1647" spans="1:20" ht="17.100000000000001" hidden="1" customHeight="1">
      <c r="A1647" s="118"/>
      <c r="B1647" s="118"/>
      <c r="C1647" s="119"/>
      <c r="D1647" s="119"/>
      <c r="E1647" s="119"/>
      <c r="F1647" s="120"/>
      <c r="G1647" s="121"/>
      <c r="H1647" s="122"/>
      <c r="I1647" s="122"/>
      <c r="J1647" s="122"/>
      <c r="K1647" s="122"/>
      <c r="L1647" s="123"/>
      <c r="M1647" s="124"/>
      <c r="N1647" s="124"/>
      <c r="O1647" s="640">
        <f t="shared" si="251"/>
        <v>0</v>
      </c>
      <c r="Q1647" s="635">
        <f t="shared" si="252"/>
        <v>0</v>
      </c>
    </row>
    <row r="1648" spans="1:20" ht="17.100000000000001" hidden="1" customHeight="1">
      <c r="A1648" s="118"/>
      <c r="B1648" s="118"/>
      <c r="C1648" s="119"/>
      <c r="D1648" s="119"/>
      <c r="E1648" s="119"/>
      <c r="F1648" s="120"/>
      <c r="G1648" s="121"/>
      <c r="H1648" s="122"/>
      <c r="I1648" s="122"/>
      <c r="J1648" s="122"/>
      <c r="K1648" s="122"/>
      <c r="L1648" s="123"/>
      <c r="M1648" s="124"/>
      <c r="N1648" s="124"/>
      <c r="O1648" s="640">
        <f t="shared" si="251"/>
        <v>0</v>
      </c>
      <c r="Q1648" s="635">
        <f t="shared" si="252"/>
        <v>0</v>
      </c>
    </row>
    <row r="1649" spans="1:20" ht="21.95" hidden="1" customHeight="1" thickBot="1">
      <c r="O1649" s="640">
        <f t="shared" si="251"/>
        <v>0</v>
      </c>
      <c r="Q1649" s="635">
        <f t="shared" si="252"/>
        <v>0</v>
      </c>
    </row>
    <row r="1650" spans="1:20" ht="29.25" hidden="1" customHeight="1">
      <c r="C1650" s="1204" t="s">
        <v>51</v>
      </c>
      <c r="D1650" s="1204"/>
      <c r="E1650" s="1204"/>
      <c r="F1650" s="1204"/>
      <c r="H1650" s="1243" t="s">
        <v>11</v>
      </c>
      <c r="I1650" s="1244"/>
      <c r="J1650" s="1244"/>
      <c r="K1650" s="1245"/>
      <c r="L1650" s="337"/>
      <c r="M1650" s="337"/>
      <c r="N1650" s="337"/>
      <c r="O1650" s="640">
        <f t="shared" si="251"/>
        <v>0</v>
      </c>
      <c r="Q1650" s="635">
        <f t="shared" si="252"/>
        <v>0</v>
      </c>
    </row>
    <row r="1651" spans="1:20" ht="29.25" hidden="1" customHeight="1">
      <c r="C1651" s="1204" t="s">
        <v>52</v>
      </c>
      <c r="D1651" s="1204"/>
      <c r="E1651" s="1204"/>
      <c r="F1651" s="1204"/>
      <c r="H1651" s="1208" t="s">
        <v>21</v>
      </c>
      <c r="I1651" s="1209"/>
      <c r="J1651" s="1209"/>
      <c r="K1651" s="1210"/>
      <c r="L1651" s="336"/>
      <c r="M1651" s="336"/>
      <c r="N1651" s="336"/>
      <c r="O1651" s="640">
        <f t="shared" si="251"/>
        <v>0</v>
      </c>
      <c r="Q1651" s="635">
        <f t="shared" si="252"/>
        <v>0</v>
      </c>
    </row>
    <row r="1652" spans="1:20" ht="29.25" hidden="1" customHeight="1">
      <c r="C1652" s="1204" t="s">
        <v>50</v>
      </c>
      <c r="D1652" s="1204"/>
      <c r="E1652" s="1204"/>
      <c r="F1652" s="1204"/>
      <c r="H1652" s="1211"/>
      <c r="I1652" s="1212"/>
      <c r="J1652" s="1212"/>
      <c r="K1652" s="1213"/>
      <c r="L1652" s="336"/>
      <c r="M1652" s="336"/>
      <c r="N1652" s="336"/>
      <c r="O1652" s="640">
        <f t="shared" si="251"/>
        <v>0</v>
      </c>
      <c r="Q1652" s="635">
        <f t="shared" si="252"/>
        <v>0</v>
      </c>
    </row>
    <row r="1653" spans="1:20" s="51" customFormat="1" ht="49.5" hidden="1" customHeight="1">
      <c r="A1653" s="41"/>
      <c r="B1653" s="41"/>
      <c r="C1653" s="1252"/>
      <c r="D1653" s="1252"/>
      <c r="E1653" s="1252"/>
      <c r="F1653" s="1252"/>
      <c r="G1653" s="44"/>
      <c r="H1653" s="1211" t="s">
        <v>22</v>
      </c>
      <c r="I1653" s="1212"/>
      <c r="J1653" s="1212"/>
      <c r="K1653" s="477">
        <f>K1690</f>
        <v>14317270</v>
      </c>
      <c r="L1653" s="336"/>
      <c r="M1653" s="336"/>
      <c r="N1653" s="86"/>
      <c r="O1653" s="640">
        <f t="shared" si="251"/>
        <v>0</v>
      </c>
      <c r="P1653" s="28"/>
      <c r="Q1653" s="635">
        <f t="shared" si="252"/>
        <v>0</v>
      </c>
      <c r="R1653" s="28"/>
      <c r="S1653" s="28"/>
      <c r="T1653" s="29"/>
    </row>
    <row r="1654" spans="1:20" ht="45" hidden="1" customHeight="1" thickBot="1">
      <c r="A1654" s="75"/>
      <c r="B1654" s="75"/>
      <c r="C1654" s="65"/>
      <c r="D1654" s="65"/>
      <c r="E1654" s="65"/>
      <c r="F1654" s="10"/>
      <c r="G1654" s="10"/>
      <c r="H1654" s="1283" t="s">
        <v>13</v>
      </c>
      <c r="I1654" s="1284"/>
      <c r="J1654" s="1284"/>
      <c r="K1654" s="1285"/>
      <c r="L1654" s="336"/>
      <c r="M1654" s="336"/>
      <c r="N1654" s="336"/>
      <c r="O1654" s="640">
        <f t="shared" si="251"/>
        <v>0</v>
      </c>
      <c r="Q1654" s="635">
        <f t="shared" si="252"/>
        <v>0</v>
      </c>
    </row>
    <row r="1655" spans="1:20" ht="30" hidden="1" customHeight="1">
      <c r="A1655" s="75"/>
      <c r="B1655" s="75"/>
      <c r="C1655" s="65"/>
      <c r="D1655" s="65"/>
      <c r="E1655" s="65"/>
      <c r="F1655" s="10"/>
      <c r="G1655" s="10"/>
      <c r="H1655" s="20"/>
      <c r="I1655" s="20"/>
      <c r="J1655" s="20"/>
      <c r="K1655" s="20"/>
      <c r="L1655" s="20"/>
      <c r="M1655" s="20"/>
      <c r="N1655" s="20"/>
      <c r="O1655" s="640">
        <f t="shared" si="251"/>
        <v>0</v>
      </c>
      <c r="Q1655" s="635">
        <f t="shared" si="252"/>
        <v>0</v>
      </c>
    </row>
    <row r="1656" spans="1:20" ht="39.950000000000003" hidden="1" customHeight="1">
      <c r="A1656" s="75"/>
      <c r="B1656" s="75"/>
      <c r="C1656" s="65"/>
      <c r="D1656" s="65"/>
      <c r="E1656" s="65"/>
      <c r="F1656" s="10"/>
      <c r="G1656" s="10"/>
      <c r="L1656" s="3"/>
      <c r="M1656" s="3"/>
      <c r="N1656" s="3"/>
      <c r="O1656" s="640">
        <f t="shared" si="251"/>
        <v>0</v>
      </c>
      <c r="Q1656" s="635">
        <f t="shared" si="252"/>
        <v>0</v>
      </c>
    </row>
    <row r="1657" spans="1:20" ht="39.950000000000003" hidden="1" customHeight="1">
      <c r="A1657" s="346"/>
      <c r="B1657" s="1226" t="s">
        <v>1037</v>
      </c>
      <c r="C1657" s="1226"/>
      <c r="D1657" s="1226"/>
      <c r="E1657" s="1226"/>
      <c r="F1657" s="1226"/>
      <c r="G1657" s="1226"/>
      <c r="H1657" s="1226"/>
      <c r="I1657" s="1226"/>
      <c r="J1657" s="1226"/>
      <c r="K1657" s="1226"/>
      <c r="L1657" s="346"/>
      <c r="M1657" s="346"/>
      <c r="N1657" s="346"/>
      <c r="O1657" s="640">
        <f t="shared" si="251"/>
        <v>0</v>
      </c>
      <c r="P1657" s="27"/>
      <c r="Q1657" s="635">
        <f t="shared" si="252"/>
        <v>0</v>
      </c>
      <c r="R1657" s="27"/>
      <c r="S1657" s="27"/>
      <c r="T1657" s="27"/>
    </row>
    <row r="1658" spans="1:20" ht="17.100000000000001" hidden="1" customHeight="1">
      <c r="A1658" s="46"/>
      <c r="B1658" s="46"/>
      <c r="C1658" s="46"/>
      <c r="D1658" s="46"/>
      <c r="E1658" s="46"/>
      <c r="F1658" s="46"/>
      <c r="G1658" s="46"/>
      <c r="H1658" s="46"/>
      <c r="I1658" s="46"/>
      <c r="J1658" s="46"/>
      <c r="K1658" s="46"/>
      <c r="L1658" s="46"/>
      <c r="M1658" s="46"/>
      <c r="N1658" s="46"/>
      <c r="O1658" s="640">
        <f t="shared" si="251"/>
        <v>0</v>
      </c>
      <c r="Q1658" s="635">
        <f t="shared" si="252"/>
        <v>0</v>
      </c>
    </row>
    <row r="1659" spans="1:20" s="500" customFormat="1" ht="90" hidden="1">
      <c r="A1659" s="496" t="s">
        <v>14</v>
      </c>
      <c r="B1659" s="497" t="s">
        <v>14</v>
      </c>
      <c r="C1659" s="497" t="s">
        <v>37</v>
      </c>
      <c r="D1659" s="497" t="s">
        <v>440</v>
      </c>
      <c r="E1659" s="497" t="s">
        <v>16</v>
      </c>
      <c r="F1659" s="497" t="s">
        <v>185</v>
      </c>
      <c r="G1659" s="497" t="s">
        <v>178</v>
      </c>
      <c r="H1659" s="497" t="s">
        <v>179</v>
      </c>
      <c r="I1659" s="497" t="s">
        <v>180</v>
      </c>
      <c r="J1659" s="497" t="s">
        <v>1275</v>
      </c>
      <c r="K1659" s="497" t="s">
        <v>200</v>
      </c>
      <c r="L1659" s="496" t="s">
        <v>180</v>
      </c>
      <c r="M1659" s="496" t="s">
        <v>181</v>
      </c>
      <c r="N1659" s="496" t="s">
        <v>200</v>
      </c>
      <c r="O1659" s="640" t="e">
        <f t="shared" si="251"/>
        <v>#VALUE!</v>
      </c>
      <c r="P1659" s="498"/>
      <c r="Q1659" s="635" t="e">
        <f t="shared" si="252"/>
        <v>#VALUE!</v>
      </c>
      <c r="R1659" s="498"/>
      <c r="S1659" s="498"/>
      <c r="T1659" s="499"/>
    </row>
    <row r="1660" spans="1:20" s="579" customFormat="1" ht="46.5" customHeight="1">
      <c r="A1660" s="572"/>
      <c r="B1660" s="572"/>
      <c r="C1660" s="573" t="s">
        <v>167</v>
      </c>
      <c r="D1660" s="574"/>
      <c r="E1660" s="574"/>
      <c r="F1660" s="575" t="s">
        <v>130</v>
      </c>
      <c r="G1660" s="576"/>
      <c r="H1660" s="576"/>
      <c r="I1660" s="577">
        <f>SUM(I1663,I1665,I1668,I1670,I1674,I1661)</f>
        <v>107108</v>
      </c>
      <c r="J1660" s="577">
        <f>SUM(J1663,J1665,J1668,J1670,J1674,J1661)</f>
        <v>11373</v>
      </c>
      <c r="K1660" s="577">
        <f>I1660+J1660</f>
        <v>118481</v>
      </c>
      <c r="L1660" s="578">
        <f>SUM(L1663,L1665,L1668,L1670,L1674,L1661)</f>
        <v>107108</v>
      </c>
      <c r="M1660" s="578">
        <f>SUM(M1663,M1665,M1668,M1670,M1674,M1661)</f>
        <v>11373</v>
      </c>
      <c r="N1660" s="578">
        <f>L1660+M1660</f>
        <v>118481</v>
      </c>
      <c r="O1660" s="644">
        <f t="shared" si="251"/>
        <v>4549.2</v>
      </c>
      <c r="Q1660" s="635">
        <f t="shared" si="252"/>
        <v>4549.2</v>
      </c>
    </row>
    <row r="1661" spans="1:20" s="510" customFormat="1" ht="72" hidden="1" customHeight="1">
      <c r="A1661" s="501"/>
      <c r="B1661" s="502"/>
      <c r="C1661" s="503" t="s">
        <v>292</v>
      </c>
      <c r="D1661" s="504"/>
      <c r="E1661" s="505"/>
      <c r="F1661" s="504"/>
      <c r="G1661" s="504"/>
      <c r="H1661" s="504"/>
      <c r="I1661" s="506">
        <f>I1662</f>
        <v>0</v>
      </c>
      <c r="J1661" s="506">
        <f>J1662</f>
        <v>3000</v>
      </c>
      <c r="K1661" s="506">
        <f>I1661+J1661</f>
        <v>3000</v>
      </c>
      <c r="L1661" s="507">
        <f>L1662</f>
        <v>0</v>
      </c>
      <c r="M1661" s="507">
        <f>M1662</f>
        <v>3000</v>
      </c>
      <c r="N1661" s="507">
        <f>L1661+M1661</f>
        <v>3000</v>
      </c>
      <c r="O1661" s="640">
        <f t="shared" si="251"/>
        <v>1200</v>
      </c>
      <c r="P1661" s="508"/>
      <c r="Q1661" s="635">
        <f t="shared" si="252"/>
        <v>1200</v>
      </c>
      <c r="R1661" s="508"/>
      <c r="S1661" s="508"/>
      <c r="T1661" s="509"/>
    </row>
    <row r="1662" spans="1:20" ht="54.75" customHeight="1">
      <c r="A1662" s="273"/>
      <c r="B1662" s="481" t="s">
        <v>1191</v>
      </c>
      <c r="C1662" s="490" t="s">
        <v>1080</v>
      </c>
      <c r="D1662" s="483">
        <v>8100</v>
      </c>
      <c r="E1662" s="484">
        <v>108288</v>
      </c>
      <c r="F1662" s="526" t="s">
        <v>171</v>
      </c>
      <c r="G1662" s="488" t="s">
        <v>910</v>
      </c>
      <c r="H1662" s="491">
        <v>1</v>
      </c>
      <c r="I1662" s="473">
        <f>INT(L1662*$Q$139)</f>
        <v>0</v>
      </c>
      <c r="J1662" s="473">
        <f>INT(M1662*$R$139)</f>
        <v>3000</v>
      </c>
      <c r="K1662" s="473">
        <f>SUM(I1662:J1662)</f>
        <v>3000</v>
      </c>
      <c r="L1662" s="167"/>
      <c r="M1662" s="167">
        <v>3000</v>
      </c>
      <c r="N1662" s="167">
        <f>SUM(L1662,M1662)</f>
        <v>3000</v>
      </c>
      <c r="O1662" s="640">
        <f t="shared" si="251"/>
        <v>1200</v>
      </c>
      <c r="P1662" s="405"/>
      <c r="Q1662" s="635">
        <f t="shared" si="252"/>
        <v>1200</v>
      </c>
    </row>
    <row r="1663" spans="1:20" s="510" customFormat="1" ht="72" hidden="1" customHeight="1">
      <c r="A1663" s="501"/>
      <c r="B1663" s="502"/>
      <c r="C1663" s="503" t="s">
        <v>141</v>
      </c>
      <c r="D1663" s="504"/>
      <c r="E1663" s="505"/>
      <c r="F1663" s="504"/>
      <c r="G1663" s="504"/>
      <c r="H1663" s="504"/>
      <c r="I1663" s="506">
        <f>SUM(I1664:I1664)</f>
        <v>69208</v>
      </c>
      <c r="J1663" s="506">
        <f>SUM(J1664:J1664)</f>
        <v>0</v>
      </c>
      <c r="K1663" s="506">
        <f>I1663+J1663</f>
        <v>69208</v>
      </c>
      <c r="L1663" s="507">
        <f>SUM(L1664:L1664)</f>
        <v>69208</v>
      </c>
      <c r="M1663" s="507">
        <f>SUM(M1664:M1664)</f>
        <v>0</v>
      </c>
      <c r="N1663" s="507">
        <f>L1663+M1663</f>
        <v>69208</v>
      </c>
      <c r="O1663" s="640">
        <f t="shared" si="251"/>
        <v>0</v>
      </c>
      <c r="P1663" s="508"/>
      <c r="Q1663" s="635">
        <f t="shared" si="252"/>
        <v>0</v>
      </c>
      <c r="R1663" s="508"/>
      <c r="S1663" s="508"/>
      <c r="T1663" s="509"/>
    </row>
    <row r="1664" spans="1:20" ht="54.75" hidden="1" customHeight="1">
      <c r="A1664" s="273" t="s">
        <v>248</v>
      </c>
      <c r="B1664" s="481" t="s">
        <v>1173</v>
      </c>
      <c r="C1664" s="490" t="s">
        <v>317</v>
      </c>
      <c r="D1664" s="483">
        <v>8100</v>
      </c>
      <c r="E1664" s="484">
        <v>108288</v>
      </c>
      <c r="F1664" s="526" t="s">
        <v>171</v>
      </c>
      <c r="G1664" s="488" t="s">
        <v>143</v>
      </c>
      <c r="H1664" s="489">
        <v>249</v>
      </c>
      <c r="I1664" s="473">
        <f>INT(L1664*$Q$139)</f>
        <v>69208</v>
      </c>
      <c r="J1664" s="473">
        <f>INT(M1664*$R$139)</f>
        <v>0</v>
      </c>
      <c r="K1664" s="473">
        <f>SUM(I1664:J1664)</f>
        <v>69208</v>
      </c>
      <c r="L1664" s="167">
        <v>69208</v>
      </c>
      <c r="M1664" s="167"/>
      <c r="N1664" s="167">
        <f>SUM(L1664,M1664)</f>
        <v>69208</v>
      </c>
      <c r="O1664" s="640">
        <f t="shared" si="251"/>
        <v>0</v>
      </c>
      <c r="P1664" s="405"/>
      <c r="Q1664" s="635">
        <f t="shared" si="252"/>
        <v>0</v>
      </c>
    </row>
    <row r="1665" spans="1:20" s="510" customFormat="1" ht="72" hidden="1" customHeight="1">
      <c r="A1665" s="501"/>
      <c r="B1665" s="502"/>
      <c r="C1665" s="503" t="s">
        <v>310</v>
      </c>
      <c r="D1665" s="504"/>
      <c r="E1665" s="505"/>
      <c r="F1665" s="504"/>
      <c r="G1665" s="504"/>
      <c r="H1665" s="504"/>
      <c r="I1665" s="506">
        <f>SUM(I1666:I1667)</f>
        <v>20650</v>
      </c>
      <c r="J1665" s="506">
        <f>SUM(J1666:J1667)</f>
        <v>3000</v>
      </c>
      <c r="K1665" s="506">
        <f>I1665+J1665</f>
        <v>23650</v>
      </c>
      <c r="L1665" s="507">
        <f>SUM(L1666:L1667)</f>
        <v>20650</v>
      </c>
      <c r="M1665" s="507">
        <f>SUM(M1666:M1667)</f>
        <v>3000</v>
      </c>
      <c r="N1665" s="507">
        <f>L1665+M1665</f>
        <v>23650</v>
      </c>
      <c r="O1665" s="640">
        <f t="shared" si="251"/>
        <v>1200</v>
      </c>
      <c r="P1665" s="508"/>
      <c r="Q1665" s="635">
        <f t="shared" si="252"/>
        <v>1200</v>
      </c>
      <c r="R1665" s="508"/>
      <c r="S1665" s="508"/>
      <c r="T1665" s="509"/>
    </row>
    <row r="1666" spans="1:20" ht="54.75" customHeight="1">
      <c r="A1666" s="273" t="s">
        <v>247</v>
      </c>
      <c r="B1666" s="481" t="s">
        <v>1027</v>
      </c>
      <c r="C1666" s="490" t="s">
        <v>681</v>
      </c>
      <c r="D1666" s="483">
        <v>8100</v>
      </c>
      <c r="E1666" s="484">
        <v>108288</v>
      </c>
      <c r="F1666" s="526" t="s">
        <v>171</v>
      </c>
      <c r="G1666" s="488" t="s">
        <v>725</v>
      </c>
      <c r="H1666" s="491">
        <v>1</v>
      </c>
      <c r="I1666" s="473">
        <f>INT(L1666*$Q$139)</f>
        <v>20650</v>
      </c>
      <c r="J1666" s="473">
        <f>INT(M1666*$R$139)</f>
        <v>3000</v>
      </c>
      <c r="K1666" s="473">
        <f>SUM(I1666:J1666)</f>
        <v>23650</v>
      </c>
      <c r="L1666" s="167">
        <v>20650</v>
      </c>
      <c r="M1666" s="167">
        <v>3000</v>
      </c>
      <c r="N1666" s="167">
        <f>SUM(L1666,M1666)</f>
        <v>23650</v>
      </c>
      <c r="O1666" s="640">
        <f t="shared" si="251"/>
        <v>1200</v>
      </c>
      <c r="P1666" s="405"/>
      <c r="Q1666" s="635">
        <f t="shared" si="252"/>
        <v>1200</v>
      </c>
    </row>
    <row r="1667" spans="1:20" ht="54.75" hidden="1" customHeight="1">
      <c r="A1667" s="273"/>
      <c r="B1667" s="481" t="s">
        <v>1186</v>
      </c>
      <c r="C1667" s="490" t="s">
        <v>1074</v>
      </c>
      <c r="D1667" s="483">
        <v>112</v>
      </c>
      <c r="E1667" s="484">
        <v>108288</v>
      </c>
      <c r="F1667" s="526" t="s">
        <v>171</v>
      </c>
      <c r="G1667" s="488" t="s">
        <v>1075</v>
      </c>
      <c r="H1667" s="489"/>
      <c r="I1667" s="473">
        <f>INT(L1667*$Q$139)</f>
        <v>0</v>
      </c>
      <c r="J1667" s="473">
        <f>INT(M1667*$R$139)</f>
        <v>0</v>
      </c>
      <c r="K1667" s="473">
        <f>SUM(I1667:J1667)</f>
        <v>0</v>
      </c>
      <c r="L1667" s="167"/>
      <c r="M1667" s="167"/>
      <c r="N1667" s="167">
        <f>L1667+M1667</f>
        <v>0</v>
      </c>
      <c r="O1667" s="640">
        <f t="shared" si="251"/>
        <v>0</v>
      </c>
      <c r="P1667" s="405"/>
      <c r="Q1667" s="635">
        <f t="shared" si="252"/>
        <v>0</v>
      </c>
    </row>
    <row r="1668" spans="1:20" s="510" customFormat="1" ht="72" hidden="1" customHeight="1">
      <c r="A1668" s="501"/>
      <c r="B1668" s="502"/>
      <c r="C1668" s="503" t="s">
        <v>397</v>
      </c>
      <c r="D1668" s="504"/>
      <c r="E1668" s="505"/>
      <c r="F1668" s="504"/>
      <c r="G1668" s="504"/>
      <c r="H1668" s="504"/>
      <c r="I1668" s="506">
        <f>SUM(I1669:I1669)</f>
        <v>7170</v>
      </c>
      <c r="J1668" s="506">
        <f>SUM(J1669:J1669)</f>
        <v>0</v>
      </c>
      <c r="K1668" s="506">
        <f>I1668+J1668</f>
        <v>7170</v>
      </c>
      <c r="L1668" s="507">
        <f>SUM(L1669:L1669)</f>
        <v>7170</v>
      </c>
      <c r="M1668" s="507">
        <f>SUM(M1669:M1669)</f>
        <v>0</v>
      </c>
      <c r="N1668" s="507">
        <f>L1668+M1668</f>
        <v>7170</v>
      </c>
      <c r="O1668" s="640">
        <f t="shared" si="251"/>
        <v>0</v>
      </c>
      <c r="P1668" s="508"/>
      <c r="Q1668" s="635">
        <f t="shared" si="252"/>
        <v>0</v>
      </c>
      <c r="R1668" s="508"/>
      <c r="S1668" s="508"/>
      <c r="T1668" s="509"/>
    </row>
    <row r="1669" spans="1:20" ht="54.75" hidden="1" customHeight="1">
      <c r="A1669" s="273"/>
      <c r="B1669" s="481" t="s">
        <v>1031</v>
      </c>
      <c r="C1669" s="490" t="s">
        <v>319</v>
      </c>
      <c r="D1669" s="483">
        <v>8100</v>
      </c>
      <c r="E1669" s="484" t="s">
        <v>686</v>
      </c>
      <c r="F1669" s="526" t="s">
        <v>171</v>
      </c>
      <c r="G1669" s="488" t="s">
        <v>18</v>
      </c>
      <c r="H1669" s="489">
        <v>5</v>
      </c>
      <c r="I1669" s="473">
        <f>INT(L1669*$Q$139)</f>
        <v>7170</v>
      </c>
      <c r="J1669" s="473">
        <f>INT(M1669*$R$139)</f>
        <v>0</v>
      </c>
      <c r="K1669" s="473">
        <f>SUM(I1669:J1669)</f>
        <v>7170</v>
      </c>
      <c r="L1669" s="167">
        <v>7170</v>
      </c>
      <c r="M1669" s="167"/>
      <c r="N1669" s="167">
        <f>SUM(L1669,M1669)</f>
        <v>7170</v>
      </c>
      <c r="O1669" s="640">
        <f t="shared" si="251"/>
        <v>0</v>
      </c>
      <c r="P1669" s="405"/>
      <c r="Q1669" s="635">
        <f t="shared" si="252"/>
        <v>0</v>
      </c>
    </row>
    <row r="1670" spans="1:20" ht="41.25" hidden="1" customHeight="1">
      <c r="A1670" s="149"/>
      <c r="B1670" s="434"/>
      <c r="C1670" s="143" t="s">
        <v>274</v>
      </c>
      <c r="D1670" s="144"/>
      <c r="E1670" s="144"/>
      <c r="F1670" s="137"/>
      <c r="G1670" s="143"/>
      <c r="H1670" s="135"/>
      <c r="I1670" s="391">
        <f t="shared" ref="I1670:N1670" si="253">SUM(I1671:I1673)</f>
        <v>0</v>
      </c>
      <c r="J1670" s="391">
        <f>SUM(J1671:J1673)</f>
        <v>0</v>
      </c>
      <c r="K1670" s="391">
        <f t="shared" si="253"/>
        <v>0</v>
      </c>
      <c r="L1670" s="391">
        <f t="shared" si="253"/>
        <v>0</v>
      </c>
      <c r="M1670" s="391">
        <f t="shared" si="253"/>
        <v>0</v>
      </c>
      <c r="N1670" s="391">
        <f t="shared" si="253"/>
        <v>0</v>
      </c>
      <c r="O1670" s="640">
        <f t="shared" si="251"/>
        <v>0</v>
      </c>
      <c r="Q1670" s="635">
        <f t="shared" si="252"/>
        <v>0</v>
      </c>
    </row>
    <row r="1671" spans="1:20" ht="48.75" hidden="1" customHeight="1">
      <c r="A1671" s="35" t="s">
        <v>439</v>
      </c>
      <c r="B1671" s="443" t="s">
        <v>835</v>
      </c>
      <c r="C1671" s="183" t="s">
        <v>681</v>
      </c>
      <c r="D1671" s="228">
        <v>112</v>
      </c>
      <c r="E1671" s="229" t="s">
        <v>795</v>
      </c>
      <c r="F1671" s="230" t="s">
        <v>171</v>
      </c>
      <c r="G1671" s="237" t="s">
        <v>725</v>
      </c>
      <c r="H1671" s="251">
        <v>1</v>
      </c>
      <c r="I1671" s="388">
        <f>INT(L1671*$Q$139)</f>
        <v>0</v>
      </c>
      <c r="J1671" s="388">
        <f>INT(M1671*$R$139)</f>
        <v>0</v>
      </c>
      <c r="K1671" s="388">
        <f>SUM(I1671:J1671)</f>
        <v>0</v>
      </c>
      <c r="L1671" s="167"/>
      <c r="M1671" s="167"/>
      <c r="N1671" s="167">
        <f>SUM(L1671,M1671)</f>
        <v>0</v>
      </c>
      <c r="O1671" s="640">
        <f t="shared" si="251"/>
        <v>0</v>
      </c>
      <c r="Q1671" s="635">
        <f t="shared" si="252"/>
        <v>0</v>
      </c>
    </row>
    <row r="1672" spans="1:20" ht="48.75" hidden="1" customHeight="1">
      <c r="A1672" s="35" t="s">
        <v>439</v>
      </c>
      <c r="B1672" s="443" t="s">
        <v>837</v>
      </c>
      <c r="C1672" s="241" t="s">
        <v>316</v>
      </c>
      <c r="D1672" s="228">
        <v>112</v>
      </c>
      <c r="E1672" s="229" t="s">
        <v>795</v>
      </c>
      <c r="F1672" s="230" t="s">
        <v>171</v>
      </c>
      <c r="G1672" s="242" t="s">
        <v>315</v>
      </c>
      <c r="H1672" s="251">
        <v>1</v>
      </c>
      <c r="I1672" s="388">
        <f>INT(L1672*$Q$139)</f>
        <v>0</v>
      </c>
      <c r="J1672" s="388">
        <f>INT(M1672*$R$139)</f>
        <v>0</v>
      </c>
      <c r="K1672" s="388">
        <f>SUM(I1672:J1672)</f>
        <v>0</v>
      </c>
      <c r="L1672" s="167"/>
      <c r="M1672" s="167"/>
      <c r="N1672" s="167">
        <f>SUM(L1672,M1672)</f>
        <v>0</v>
      </c>
      <c r="O1672" s="640">
        <f t="shared" si="251"/>
        <v>0</v>
      </c>
      <c r="Q1672" s="635">
        <f t="shared" si="252"/>
        <v>0</v>
      </c>
    </row>
    <row r="1673" spans="1:20" ht="27" hidden="1" customHeight="1">
      <c r="A1673" s="35"/>
      <c r="B1673" s="443" t="s">
        <v>839</v>
      </c>
      <c r="C1673" s="272" t="s">
        <v>448</v>
      </c>
      <c r="D1673" s="228"/>
      <c r="E1673" s="229" t="s">
        <v>795</v>
      </c>
      <c r="F1673" s="230" t="s">
        <v>171</v>
      </c>
      <c r="G1673" s="248" t="s">
        <v>159</v>
      </c>
      <c r="H1673" s="231">
        <v>1</v>
      </c>
      <c r="I1673" s="388">
        <f>INT(L1673*$Q$139)</f>
        <v>0</v>
      </c>
      <c r="J1673" s="388">
        <f>INT(M1673*$R$139)</f>
        <v>0</v>
      </c>
      <c r="K1673" s="388">
        <f>SUM(I1673:J1673)</f>
        <v>0</v>
      </c>
      <c r="L1673" s="167"/>
      <c r="M1673" s="167"/>
      <c r="N1673" s="167">
        <f>SUM(L1673,M1673)</f>
        <v>0</v>
      </c>
      <c r="O1673" s="640">
        <f t="shared" si="251"/>
        <v>0</v>
      </c>
      <c r="Q1673" s="635">
        <f t="shared" si="252"/>
        <v>0</v>
      </c>
    </row>
    <row r="1674" spans="1:20" s="510" customFormat="1" ht="72" hidden="1" customHeight="1">
      <c r="A1674" s="501"/>
      <c r="B1674" s="502"/>
      <c r="C1674" s="503" t="s">
        <v>312</v>
      </c>
      <c r="D1674" s="504"/>
      <c r="E1674" s="505"/>
      <c r="F1674" s="504"/>
      <c r="G1674" s="504"/>
      <c r="H1674" s="504"/>
      <c r="I1674" s="506">
        <f>SUM(I1675:I1676)</f>
        <v>10080</v>
      </c>
      <c r="J1674" s="506">
        <f>SUM(J1675:J1676)</f>
        <v>5373</v>
      </c>
      <c r="K1674" s="506">
        <f>I1674+J1674</f>
        <v>15453</v>
      </c>
      <c r="L1674" s="507">
        <f>SUM(L1675:L1676)</f>
        <v>10080</v>
      </c>
      <c r="M1674" s="507">
        <f>SUM(M1675:M1676)</f>
        <v>5373</v>
      </c>
      <c r="N1674" s="507">
        <f>L1674+M1674</f>
        <v>15453</v>
      </c>
      <c r="O1674" s="640">
        <f t="shared" si="251"/>
        <v>2149.1999999999998</v>
      </c>
      <c r="P1674" s="508"/>
      <c r="Q1674" s="635">
        <f t="shared" si="252"/>
        <v>2149.1999999999998</v>
      </c>
      <c r="R1674" s="508"/>
      <c r="S1674" s="508"/>
      <c r="T1674" s="509"/>
    </row>
    <row r="1675" spans="1:20" ht="54.75" customHeight="1">
      <c r="A1675" s="273" t="s">
        <v>439</v>
      </c>
      <c r="B1675" s="481" t="s">
        <v>1030</v>
      </c>
      <c r="C1675" s="490" t="s">
        <v>316</v>
      </c>
      <c r="D1675" s="483">
        <v>8100</v>
      </c>
      <c r="E1675" s="484">
        <v>108288</v>
      </c>
      <c r="F1675" s="526" t="s">
        <v>171</v>
      </c>
      <c r="G1675" s="488" t="s">
        <v>315</v>
      </c>
      <c r="H1675" s="491">
        <v>1</v>
      </c>
      <c r="I1675" s="473">
        <f>INT(L1675*$Q$139)</f>
        <v>10080</v>
      </c>
      <c r="J1675" s="473">
        <f>INT(M1675*$R$139)</f>
        <v>5373</v>
      </c>
      <c r="K1675" s="473">
        <f>SUM(I1675:J1675)</f>
        <v>15453</v>
      </c>
      <c r="L1675" s="167">
        <v>10080</v>
      </c>
      <c r="M1675" s="167">
        <v>5373</v>
      </c>
      <c r="N1675" s="167">
        <f>SUM(L1675,M1675)</f>
        <v>15453</v>
      </c>
      <c r="O1675" s="640">
        <f t="shared" si="251"/>
        <v>2149.1999999999998</v>
      </c>
      <c r="P1675" s="405"/>
      <c r="Q1675" s="635">
        <f t="shared" si="252"/>
        <v>2149.1999999999998</v>
      </c>
    </row>
    <row r="1676" spans="1:20" ht="54.75" hidden="1" customHeight="1">
      <c r="A1676" s="273"/>
      <c r="B1676" s="481" t="s">
        <v>1188</v>
      </c>
      <c r="C1676" s="490" t="s">
        <v>1074</v>
      </c>
      <c r="D1676" s="483">
        <v>112</v>
      </c>
      <c r="E1676" s="484">
        <v>108288</v>
      </c>
      <c r="F1676" s="526" t="s">
        <v>171</v>
      </c>
      <c r="G1676" s="488" t="s">
        <v>1075</v>
      </c>
      <c r="H1676" s="489"/>
      <c r="I1676" s="473">
        <f>INT(L1676*$Q$139)</f>
        <v>0</v>
      </c>
      <c r="J1676" s="473">
        <f>INT(M1676*$R$139)</f>
        <v>0</v>
      </c>
      <c r="K1676" s="473">
        <f>SUM(I1676:J1676)</f>
        <v>0</v>
      </c>
      <c r="L1676" s="167"/>
      <c r="M1676" s="167"/>
      <c r="N1676" s="167">
        <f>L1676+M1676</f>
        <v>0</v>
      </c>
      <c r="O1676" s="640">
        <f t="shared" si="251"/>
        <v>0</v>
      </c>
      <c r="P1676" s="405"/>
      <c r="Q1676" s="635">
        <f t="shared" si="252"/>
        <v>0</v>
      </c>
    </row>
    <row r="1677" spans="1:20" s="579" customFormat="1" ht="46.5" customHeight="1">
      <c r="A1677" s="572"/>
      <c r="B1677" s="572"/>
      <c r="C1677" s="573" t="s">
        <v>263</v>
      </c>
      <c r="D1677" s="574"/>
      <c r="E1677" s="574"/>
      <c r="F1677" s="575" t="s">
        <v>264</v>
      </c>
      <c r="G1677" s="576"/>
      <c r="H1677" s="576"/>
      <c r="I1677" s="577">
        <f>SUM(I1678,I1680,I1682,I1684,I1687)</f>
        <v>179668</v>
      </c>
      <c r="J1677" s="577">
        <f>SUM(J1678,J1680,J1682,J1684,J1687)</f>
        <v>29339</v>
      </c>
      <c r="K1677" s="577">
        <f>I1677+J1677</f>
        <v>209007</v>
      </c>
      <c r="L1677" s="578">
        <f>SUM(L1678,L1680,L1682,L1684,L1687)</f>
        <v>179668</v>
      </c>
      <c r="M1677" s="578">
        <f>SUM(M1678,M1680,M1682,M1684,M1687)</f>
        <v>29339</v>
      </c>
      <c r="N1677" s="578">
        <f>L1677+M1677</f>
        <v>209007</v>
      </c>
      <c r="O1677" s="644">
        <f t="shared" si="251"/>
        <v>11735.599999999999</v>
      </c>
      <c r="Q1677" s="635">
        <f t="shared" si="252"/>
        <v>11735.6</v>
      </c>
    </row>
    <row r="1678" spans="1:20" s="510" customFormat="1" ht="72" hidden="1" customHeight="1">
      <c r="A1678" s="501"/>
      <c r="B1678" s="502"/>
      <c r="C1678" s="503" t="s">
        <v>141</v>
      </c>
      <c r="D1678" s="504"/>
      <c r="E1678" s="505"/>
      <c r="F1678" s="504"/>
      <c r="G1678" s="504"/>
      <c r="H1678" s="504"/>
      <c r="I1678" s="506">
        <f>I1679</f>
        <v>157668</v>
      </c>
      <c r="J1678" s="506">
        <f>J1679</f>
        <v>0</v>
      </c>
      <c r="K1678" s="506">
        <f>I1678+J1678</f>
        <v>157668</v>
      </c>
      <c r="L1678" s="507">
        <f>L1679</f>
        <v>157668</v>
      </c>
      <c r="M1678" s="507">
        <f>M1679</f>
        <v>0</v>
      </c>
      <c r="N1678" s="507">
        <f>L1678+M1678</f>
        <v>157668</v>
      </c>
      <c r="O1678" s="640">
        <f t="shared" si="251"/>
        <v>0</v>
      </c>
      <c r="P1678" s="508"/>
      <c r="Q1678" s="635">
        <f t="shared" si="252"/>
        <v>0</v>
      </c>
      <c r="R1678" s="508"/>
      <c r="S1678" s="508"/>
      <c r="T1678" s="509"/>
    </row>
    <row r="1679" spans="1:20" ht="54.75" hidden="1" customHeight="1">
      <c r="A1679" s="273" t="s">
        <v>248</v>
      </c>
      <c r="B1679" s="481" t="s">
        <v>1173</v>
      </c>
      <c r="C1679" s="490" t="s">
        <v>317</v>
      </c>
      <c r="D1679" s="483">
        <v>8100</v>
      </c>
      <c r="E1679" s="484">
        <v>108288</v>
      </c>
      <c r="F1679" s="526" t="s">
        <v>265</v>
      </c>
      <c r="G1679" s="488" t="s">
        <v>143</v>
      </c>
      <c r="H1679" s="489">
        <v>885</v>
      </c>
      <c r="I1679" s="473">
        <f>INT(L1679*$Q$139)</f>
        <v>157668</v>
      </c>
      <c r="J1679" s="473">
        <f>INT(M1679*$R$139)</f>
        <v>0</v>
      </c>
      <c r="K1679" s="473">
        <f>SUM(I1679:J1679)</f>
        <v>157668</v>
      </c>
      <c r="L1679" s="167">
        <v>157668</v>
      </c>
      <c r="M1679" s="167"/>
      <c r="N1679" s="167">
        <f>SUM(L1679,M1679)</f>
        <v>157668</v>
      </c>
      <c r="O1679" s="640">
        <f t="shared" si="251"/>
        <v>0</v>
      </c>
      <c r="P1679" s="405"/>
      <c r="Q1679" s="635">
        <f t="shared" si="252"/>
        <v>0</v>
      </c>
    </row>
    <row r="1680" spans="1:20" s="510" customFormat="1" ht="72" hidden="1" customHeight="1">
      <c r="A1680" s="501"/>
      <c r="B1680" s="502"/>
      <c r="C1680" s="503" t="s">
        <v>310</v>
      </c>
      <c r="D1680" s="504"/>
      <c r="E1680" s="505"/>
      <c r="F1680" s="504"/>
      <c r="G1680" s="504"/>
      <c r="H1680" s="504"/>
      <c r="I1680" s="506">
        <f>I1681</f>
        <v>0</v>
      </c>
      <c r="J1680" s="506">
        <f>J1681</f>
        <v>23895</v>
      </c>
      <c r="K1680" s="506">
        <f>I1680+J1680</f>
        <v>23895</v>
      </c>
      <c r="L1680" s="507">
        <f>L1681</f>
        <v>0</v>
      </c>
      <c r="M1680" s="507">
        <f>M1681</f>
        <v>23895</v>
      </c>
      <c r="N1680" s="507">
        <f>L1680+M1680</f>
        <v>23895</v>
      </c>
      <c r="O1680" s="640">
        <f t="shared" si="251"/>
        <v>9558</v>
      </c>
      <c r="P1680" s="508"/>
      <c r="Q1680" s="635">
        <f t="shared" si="252"/>
        <v>9558</v>
      </c>
      <c r="R1680" s="508"/>
      <c r="S1680" s="508"/>
      <c r="T1680" s="509"/>
    </row>
    <row r="1681" spans="1:20" ht="54.75" customHeight="1">
      <c r="A1681" s="273"/>
      <c r="B1681" s="481" t="s">
        <v>1027</v>
      </c>
      <c r="C1681" s="490" t="s">
        <v>681</v>
      </c>
      <c r="D1681" s="483">
        <v>8100</v>
      </c>
      <c r="E1681" s="484">
        <v>108288</v>
      </c>
      <c r="F1681" s="526" t="s">
        <v>265</v>
      </c>
      <c r="G1681" s="488" t="s">
        <v>1075</v>
      </c>
      <c r="H1681" s="491">
        <v>1</v>
      </c>
      <c r="I1681" s="473">
        <f>INT(L1681*$Q$139)</f>
        <v>0</v>
      </c>
      <c r="J1681" s="473">
        <f>INT(M1681*$R$139)</f>
        <v>23895</v>
      </c>
      <c r="K1681" s="473">
        <f>SUM(I1681:J1681)</f>
        <v>23895</v>
      </c>
      <c r="L1681" s="167"/>
      <c r="M1681" s="167">
        <v>23895</v>
      </c>
      <c r="N1681" s="167">
        <f>L1681+M1681</f>
        <v>23895</v>
      </c>
      <c r="O1681" s="640">
        <f t="shared" si="251"/>
        <v>9558</v>
      </c>
      <c r="P1681" s="405"/>
      <c r="Q1681" s="635">
        <f t="shared" si="252"/>
        <v>9558</v>
      </c>
    </row>
    <row r="1682" spans="1:20" s="510" customFormat="1" ht="72" hidden="1" customHeight="1">
      <c r="A1682" s="501"/>
      <c r="B1682" s="502"/>
      <c r="C1682" s="503" t="s">
        <v>397</v>
      </c>
      <c r="D1682" s="504"/>
      <c r="E1682" s="505"/>
      <c r="F1682" s="504"/>
      <c r="G1682" s="504"/>
      <c r="H1682" s="504"/>
      <c r="I1682" s="506">
        <f>SUM(I1683)</f>
        <v>22000</v>
      </c>
      <c r="J1682" s="506">
        <f>SUM(J1683)</f>
        <v>0</v>
      </c>
      <c r="K1682" s="506">
        <f>I1682+J1682</f>
        <v>22000</v>
      </c>
      <c r="L1682" s="507">
        <f>SUM(L1683)</f>
        <v>22000</v>
      </c>
      <c r="M1682" s="507">
        <f>SUM(M1683)</f>
        <v>0</v>
      </c>
      <c r="N1682" s="507">
        <f>L1682+M1682</f>
        <v>22000</v>
      </c>
      <c r="O1682" s="640">
        <f t="shared" si="251"/>
        <v>0</v>
      </c>
      <c r="P1682" s="508"/>
      <c r="Q1682" s="635">
        <f t="shared" si="252"/>
        <v>0</v>
      </c>
      <c r="R1682" s="508"/>
      <c r="S1682" s="508"/>
      <c r="T1682" s="509"/>
    </row>
    <row r="1683" spans="1:20" ht="54.75" hidden="1" customHeight="1">
      <c r="A1683" s="273" t="s">
        <v>514</v>
      </c>
      <c r="B1683" s="481" t="s">
        <v>1031</v>
      </c>
      <c r="C1683" s="490" t="s">
        <v>319</v>
      </c>
      <c r="D1683" s="483">
        <v>8100</v>
      </c>
      <c r="E1683" s="484" t="s">
        <v>686</v>
      </c>
      <c r="F1683" s="526" t="s">
        <v>265</v>
      </c>
      <c r="G1683" s="488" t="s">
        <v>18</v>
      </c>
      <c r="H1683" s="489">
        <v>9</v>
      </c>
      <c r="I1683" s="473">
        <f>INT(L1683*$Q$139)</f>
        <v>22000</v>
      </c>
      <c r="J1683" s="473">
        <f>INT(M1683*$R$139)</f>
        <v>0</v>
      </c>
      <c r="K1683" s="473">
        <f>SUM(I1683:J1683)</f>
        <v>22000</v>
      </c>
      <c r="L1683" s="167">
        <v>22000</v>
      </c>
      <c r="M1683" s="167"/>
      <c r="N1683" s="167">
        <f>SUM(L1683,M1683)</f>
        <v>22000</v>
      </c>
      <c r="O1683" s="640">
        <f t="shared" si="251"/>
        <v>0</v>
      </c>
      <c r="P1683" s="405"/>
      <c r="Q1683" s="635">
        <f t="shared" si="252"/>
        <v>0</v>
      </c>
    </row>
    <row r="1684" spans="1:20" ht="41.25" hidden="1" customHeight="1">
      <c r="A1684" s="149"/>
      <c r="B1684" s="434"/>
      <c r="C1684" s="143" t="s">
        <v>274</v>
      </c>
      <c r="D1684" s="144"/>
      <c r="E1684" s="144"/>
      <c r="F1684" s="137"/>
      <c r="G1684" s="143"/>
      <c r="H1684" s="135"/>
      <c r="I1684" s="391">
        <f t="shared" ref="I1684:N1684" si="254">SUM(I1685:I1686)</f>
        <v>0</v>
      </c>
      <c r="J1684" s="391">
        <f t="shared" si="254"/>
        <v>0</v>
      </c>
      <c r="K1684" s="391">
        <f t="shared" si="254"/>
        <v>0</v>
      </c>
      <c r="L1684" s="391">
        <f t="shared" si="254"/>
        <v>0</v>
      </c>
      <c r="M1684" s="391">
        <f t="shared" si="254"/>
        <v>0</v>
      </c>
      <c r="N1684" s="391">
        <f t="shared" si="254"/>
        <v>0</v>
      </c>
      <c r="O1684" s="640">
        <f t="shared" si="251"/>
        <v>0</v>
      </c>
      <c r="Q1684" s="635">
        <f t="shared" si="252"/>
        <v>0</v>
      </c>
    </row>
    <row r="1685" spans="1:20" ht="48.75" hidden="1" customHeight="1">
      <c r="A1685" s="35" t="s">
        <v>439</v>
      </c>
      <c r="B1685" s="443" t="s">
        <v>835</v>
      </c>
      <c r="C1685" s="183" t="s">
        <v>681</v>
      </c>
      <c r="D1685" s="228">
        <v>112</v>
      </c>
      <c r="E1685" s="229" t="s">
        <v>795</v>
      </c>
      <c r="F1685" s="230" t="s">
        <v>265</v>
      </c>
      <c r="G1685" s="237" t="s">
        <v>725</v>
      </c>
      <c r="H1685" s="251">
        <v>1</v>
      </c>
      <c r="I1685" s="388">
        <f>INT(L1685*$Q$139)</f>
        <v>0</v>
      </c>
      <c r="J1685" s="388">
        <f>INT(M1685*$R$139)</f>
        <v>0</v>
      </c>
      <c r="K1685" s="388">
        <f>SUM(I1685:J1685)</f>
        <v>0</v>
      </c>
      <c r="L1685" s="167"/>
      <c r="M1685" s="167"/>
      <c r="N1685" s="167">
        <f>SUM(L1685,M1685)</f>
        <v>0</v>
      </c>
      <c r="O1685" s="640">
        <f t="shared" si="251"/>
        <v>0</v>
      </c>
      <c r="Q1685" s="635">
        <f t="shared" si="252"/>
        <v>0</v>
      </c>
    </row>
    <row r="1686" spans="1:20" ht="48.75" hidden="1" customHeight="1">
      <c r="A1686" s="35"/>
      <c r="B1686" s="443" t="s">
        <v>837</v>
      </c>
      <c r="C1686" s="241" t="s">
        <v>316</v>
      </c>
      <c r="D1686" s="228">
        <v>112</v>
      </c>
      <c r="E1686" s="229" t="s">
        <v>795</v>
      </c>
      <c r="F1686" s="230" t="s">
        <v>265</v>
      </c>
      <c r="G1686" s="242" t="s">
        <v>315</v>
      </c>
      <c r="H1686" s="271">
        <v>1</v>
      </c>
      <c r="I1686" s="388">
        <f>INT(L1686*$Q$139)</f>
        <v>0</v>
      </c>
      <c r="J1686" s="388">
        <f>INT(M1686*$R$139)</f>
        <v>0</v>
      </c>
      <c r="K1686" s="388">
        <f>SUM(I1686:J1686)</f>
        <v>0</v>
      </c>
      <c r="L1686" s="167"/>
      <c r="M1686" s="167"/>
      <c r="N1686" s="167">
        <f>SUM(L1686,M1686)</f>
        <v>0</v>
      </c>
      <c r="O1686" s="640">
        <f t="shared" si="251"/>
        <v>0</v>
      </c>
      <c r="Q1686" s="635">
        <f t="shared" si="252"/>
        <v>0</v>
      </c>
    </row>
    <row r="1687" spans="1:20" s="510" customFormat="1" ht="73.5" hidden="1" customHeight="1">
      <c r="A1687" s="501"/>
      <c r="B1687" s="502"/>
      <c r="C1687" s="503" t="s">
        <v>312</v>
      </c>
      <c r="D1687" s="504"/>
      <c r="E1687" s="505"/>
      <c r="F1687" s="504"/>
      <c r="G1687" s="504"/>
      <c r="H1687" s="504"/>
      <c r="I1687" s="506">
        <f>SUM(I1688:I1688)</f>
        <v>0</v>
      </c>
      <c r="J1687" s="506">
        <f>SUM(J1688:J1688)</f>
        <v>5444</v>
      </c>
      <c r="K1687" s="506">
        <f>I1687+J1687</f>
        <v>5444</v>
      </c>
      <c r="L1687" s="507">
        <f>SUM(L1688:L1688)</f>
        <v>0</v>
      </c>
      <c r="M1687" s="507">
        <f>SUM(M1688:M1688)</f>
        <v>5444</v>
      </c>
      <c r="N1687" s="507">
        <f>L1687+M1687</f>
        <v>5444</v>
      </c>
      <c r="O1687" s="640">
        <f t="shared" si="251"/>
        <v>2177.6</v>
      </c>
      <c r="P1687" s="508"/>
      <c r="Q1687" s="635">
        <f t="shared" si="252"/>
        <v>2177.6</v>
      </c>
      <c r="R1687" s="508"/>
      <c r="S1687" s="508"/>
      <c r="T1687" s="509"/>
    </row>
    <row r="1688" spans="1:20" ht="54.75" customHeight="1">
      <c r="A1688" s="273"/>
      <c r="B1688" s="481" t="s">
        <v>1030</v>
      </c>
      <c r="C1688" s="490" t="s">
        <v>316</v>
      </c>
      <c r="D1688" s="483">
        <v>8100</v>
      </c>
      <c r="E1688" s="484">
        <v>108288</v>
      </c>
      <c r="F1688" s="526" t="s">
        <v>265</v>
      </c>
      <c r="G1688" s="488" t="s">
        <v>1075</v>
      </c>
      <c r="H1688" s="491">
        <v>1</v>
      </c>
      <c r="I1688" s="473">
        <f>INT(L1688*$Q$139)</f>
        <v>0</v>
      </c>
      <c r="J1688" s="473">
        <f>INT(M1688*$R$139)</f>
        <v>5444</v>
      </c>
      <c r="K1688" s="473">
        <f>SUM(I1688:J1688)</f>
        <v>5444</v>
      </c>
      <c r="L1688" s="167"/>
      <c r="M1688" s="167">
        <v>5444</v>
      </c>
      <c r="N1688" s="167">
        <f>L1688+M1688</f>
        <v>5444</v>
      </c>
      <c r="O1688" s="640">
        <f t="shared" si="251"/>
        <v>2177.6</v>
      </c>
      <c r="P1688" s="405"/>
      <c r="Q1688" s="635">
        <f t="shared" si="252"/>
        <v>2177.6</v>
      </c>
    </row>
    <row r="1689" spans="1:20" ht="66" customHeight="1">
      <c r="C1689" s="641"/>
      <c r="D1689" s="641"/>
      <c r="E1689" s="641"/>
      <c r="F1689" s="641"/>
      <c r="G1689" s="641"/>
      <c r="H1689" s="641"/>
      <c r="I1689" s="641"/>
      <c r="J1689" s="642">
        <f t="shared" ref="J1689:O1689" si="255">J1677+J1660+J1632+J1614+J1588+J1571+J1542+J1509+J1495+J1460+J1432+J1414+J1406+J1383+J1372+J1351+J1341+J1327+J1305+J1291+J1269+J1252+J1218+J1177+J1150+J1121+J1104+J1080+J1064+J1035+J1022+J996+J982+J949+J935</f>
        <v>1508311</v>
      </c>
      <c r="K1689" s="642">
        <f t="shared" si="255"/>
        <v>14317270</v>
      </c>
      <c r="L1689" s="642">
        <f t="shared" si="255"/>
        <v>12814709</v>
      </c>
      <c r="M1689" s="642">
        <f t="shared" si="255"/>
        <v>1508311</v>
      </c>
      <c r="N1689" s="642">
        <f t="shared" si="255"/>
        <v>14313020</v>
      </c>
      <c r="O1689" s="643">
        <f t="shared" si="255"/>
        <v>603324.4</v>
      </c>
      <c r="P1689" s="27"/>
      <c r="Q1689" s="635">
        <f t="shared" si="252"/>
        <v>603324.4</v>
      </c>
      <c r="R1689" s="27"/>
      <c r="S1689" s="27"/>
      <c r="T1689" s="27"/>
    </row>
    <row r="1690" spans="1:20" s="472" customFormat="1" ht="45" hidden="1" customHeight="1">
      <c r="A1690" s="478" t="s">
        <v>200</v>
      </c>
      <c r="B1690" s="1263" t="s">
        <v>200</v>
      </c>
      <c r="C1690" s="1264"/>
      <c r="D1690" s="1264"/>
      <c r="E1690" s="1264"/>
      <c r="F1690" s="1264"/>
      <c r="G1690" s="1264"/>
      <c r="H1690" s="1265"/>
      <c r="I1690" s="479">
        <f>I935+I949+I982+I996+I1022+I1035+I1064+I1080+I1104+I1121+I1150+I1177+I1218+I1252+I1269+I1305+I1291+I1327+I1341+I1351+I1372+I1383+I1432+I1460+I1495+I1509+I1542+I1571+I1588+I1614+I1632+I1660+I1677+I1414+I1406</f>
        <v>12808959</v>
      </c>
      <c r="J1690" s="479">
        <f>J935+J949+J982+J996+J1022+J1035+J1064+J1080+J1104+J1121+J1150+J1177+J1218+J1252+J1269+J1305+J1291+J1327+J1341+J1351+J1372+J1383+J1432+J1460+J1495+J1509+J1542+J1571+J1588+J1614+J1632+J1660+J1677+J1414+J1406</f>
        <v>1508311</v>
      </c>
      <c r="K1690" s="479">
        <f>I1690+J1690</f>
        <v>14317270</v>
      </c>
      <c r="L1690" s="480">
        <f>L935+L949+L982+L996+L1022+L1035+L1064+L1080+L1104+L1121+L1150+L1177+L1218+L1252+L1269+L1305+L1291+L1327+L1341+L1351+L1372+L1383+L1432+L1460+L1495+L1509+L1542+L1571+L1588+L1614+L1632+L1660+L1677</f>
        <v>12573488</v>
      </c>
      <c r="M1690" s="480">
        <f>M935+M949+M982+M996+M1022+M1035+M1064+M1080+M1104+M1121+M1150+M1177+M1218+M1252+M1269+M1305+M1291+M1327+M1341+M1351+M1372+M1383+M1432+M1460+M1495+M1509+M1542+M1571+M1588+M1614+M1632+M1660+M1677</f>
        <v>1490811</v>
      </c>
      <c r="N1690" s="480">
        <f>N935+N949+N982+N996+N1022+N1035+N1064+N1080+N1104+N1121+N1150+N1177+N1218+N1252+N1269+N1305+N1291+N1327+N1341+N1351+N1372+N1383+N1432+N1460+N1495+N1509+N1542+N1571+N1588+N1614+N1632+N1660+N1677</f>
        <v>14054299</v>
      </c>
      <c r="O1690" s="470">
        <f>K1690-N1690</f>
        <v>262971</v>
      </c>
      <c r="P1690" s="470"/>
      <c r="Q1690" s="635">
        <f t="shared" si="252"/>
        <v>603324.4</v>
      </c>
      <c r="R1690" s="470"/>
      <c r="S1690" s="470"/>
      <c r="T1690" s="471"/>
    </row>
    <row r="1691" spans="1:20" ht="78" hidden="1" customHeight="1">
      <c r="B1691" s="1287" t="s">
        <v>1276</v>
      </c>
      <c r="C1691" s="1287"/>
      <c r="D1691" s="1287"/>
      <c r="E1691" s="1287"/>
      <c r="F1691" s="1287"/>
      <c r="G1691" s="1287"/>
      <c r="H1691" s="1287"/>
      <c r="I1691" s="1287"/>
      <c r="J1691" s="1287"/>
      <c r="K1691" s="1287"/>
      <c r="O1691" s="332"/>
      <c r="P1691" s="332"/>
      <c r="Q1691" s="636"/>
    </row>
    <row r="1692" spans="1:20" ht="21.75" hidden="1" customHeight="1">
      <c r="O1692" s="27"/>
      <c r="P1692" s="27"/>
      <c r="Q1692" s="620"/>
      <c r="R1692" s="27"/>
      <c r="S1692" s="27"/>
      <c r="T1692" s="27"/>
    </row>
    <row r="1693" spans="1:20" ht="33" hidden="1" customHeight="1">
      <c r="A1693" s="27"/>
      <c r="B1693" s="27"/>
      <c r="C1693" s="1204" t="s">
        <v>51</v>
      </c>
      <c r="D1693" s="1204"/>
      <c r="E1693" s="1204"/>
      <c r="F1693" s="1204"/>
      <c r="O1693" s="27"/>
      <c r="P1693" s="27"/>
      <c r="Q1693" s="620"/>
      <c r="R1693" s="27"/>
      <c r="S1693" s="27"/>
      <c r="T1693" s="27"/>
    </row>
    <row r="1694" spans="1:20" ht="33" hidden="1" customHeight="1">
      <c r="A1694" s="27"/>
      <c r="B1694" s="27"/>
      <c r="C1694" s="1204" t="s">
        <v>52</v>
      </c>
      <c r="D1694" s="1204"/>
      <c r="E1694" s="1204"/>
      <c r="F1694" s="1204"/>
      <c r="O1694" s="27"/>
      <c r="P1694" s="27"/>
      <c r="Q1694" s="620"/>
      <c r="R1694" s="27"/>
      <c r="S1694" s="27"/>
      <c r="T1694" s="27"/>
    </row>
    <row r="1695" spans="1:20" ht="33" hidden="1" customHeight="1">
      <c r="A1695" s="27"/>
      <c r="B1695" s="27"/>
      <c r="C1695" s="1204" t="s">
        <v>50</v>
      </c>
      <c r="D1695" s="1204"/>
      <c r="E1695" s="1204"/>
      <c r="F1695" s="1204"/>
      <c r="O1695" s="27"/>
      <c r="P1695" s="27"/>
      <c r="Q1695" s="620"/>
      <c r="R1695" s="27"/>
      <c r="S1695" s="27"/>
      <c r="T1695" s="27"/>
    </row>
    <row r="1696" spans="1:20" ht="7.5" hidden="1" customHeight="1">
      <c r="A1696" s="27"/>
      <c r="B1696" s="27"/>
      <c r="F1696" s="27"/>
      <c r="O1696" s="27"/>
      <c r="P1696" s="27"/>
      <c r="Q1696" s="620"/>
      <c r="R1696" s="27"/>
      <c r="S1696" s="27"/>
      <c r="T1696" s="27"/>
    </row>
    <row r="1697" spans="1:20" ht="12.75" hidden="1" customHeight="1">
      <c r="A1697" s="27"/>
      <c r="B1697" s="27"/>
      <c r="F1697" s="27"/>
      <c r="O1697" s="27"/>
      <c r="P1697" s="27"/>
      <c r="Q1697" s="620"/>
      <c r="R1697" s="27"/>
      <c r="S1697" s="27"/>
      <c r="T1697" s="27"/>
    </row>
    <row r="1698" spans="1:20" ht="30" hidden="1" customHeight="1">
      <c r="A1698" s="349" t="s">
        <v>1060</v>
      </c>
      <c r="B1698" s="1226" t="s">
        <v>1061</v>
      </c>
      <c r="C1698" s="1226"/>
      <c r="D1698" s="1226"/>
      <c r="E1698" s="1226"/>
      <c r="F1698" s="1226"/>
      <c r="G1698" s="1226"/>
      <c r="H1698" s="1226"/>
      <c r="I1698" s="1226"/>
      <c r="J1698" s="1226"/>
      <c r="K1698" s="1226"/>
      <c r="L1698" s="349"/>
      <c r="M1698" s="349"/>
      <c r="N1698" s="349"/>
      <c r="O1698" s="27"/>
      <c r="P1698" s="27"/>
      <c r="Q1698" s="620"/>
      <c r="R1698" s="27"/>
      <c r="S1698" s="27"/>
      <c r="T1698" s="27"/>
    </row>
    <row r="1699" spans="1:20" ht="30" hidden="1" customHeight="1">
      <c r="A1699" s="27"/>
      <c r="B1699" s="27"/>
      <c r="F1699" s="27"/>
      <c r="O1699" s="27"/>
      <c r="P1699" s="27"/>
      <c r="Q1699" s="620"/>
      <c r="R1699" s="27"/>
      <c r="S1699" s="27"/>
      <c r="T1699" s="27"/>
    </row>
    <row r="1700" spans="1:20" ht="30" hidden="1" customHeight="1">
      <c r="A1700" s="355"/>
      <c r="B1700" s="605" t="s">
        <v>350</v>
      </c>
      <c r="C1700" s="355"/>
      <c r="D1700" s="355"/>
      <c r="E1700" s="355"/>
      <c r="F1700" s="355"/>
      <c r="G1700" s="355"/>
      <c r="H1700" s="355"/>
      <c r="I1700" s="355"/>
      <c r="J1700" s="355"/>
      <c r="K1700" s="355"/>
      <c r="L1700" s="355"/>
      <c r="M1700" s="355"/>
      <c r="N1700" s="355"/>
      <c r="O1700" s="27"/>
      <c r="P1700" s="27"/>
      <c r="Q1700" s="620"/>
      <c r="R1700" s="27"/>
      <c r="S1700" s="27"/>
      <c r="T1700" s="27"/>
    </row>
    <row r="1701" spans="1:20" s="500" customFormat="1" ht="90" hidden="1">
      <c r="A1701" s="496" t="s">
        <v>646</v>
      </c>
      <c r="B1701" s="497" t="s">
        <v>1062</v>
      </c>
      <c r="C1701" s="497" t="s">
        <v>37</v>
      </c>
      <c r="D1701" s="497" t="s">
        <v>440</v>
      </c>
      <c r="E1701" s="497" t="s">
        <v>16</v>
      </c>
      <c r="F1701" s="497" t="s">
        <v>185</v>
      </c>
      <c r="G1701" s="497" t="s">
        <v>178</v>
      </c>
      <c r="H1701" s="497" t="s">
        <v>179</v>
      </c>
      <c r="I1701" s="497" t="s">
        <v>180</v>
      </c>
      <c r="J1701" s="497" t="s">
        <v>181</v>
      </c>
      <c r="K1701" s="497" t="s">
        <v>200</v>
      </c>
      <c r="L1701" s="496" t="s">
        <v>180</v>
      </c>
      <c r="M1701" s="496" t="s">
        <v>181</v>
      </c>
      <c r="N1701" s="496" t="s">
        <v>200</v>
      </c>
      <c r="O1701" s="498"/>
      <c r="P1701" s="498"/>
      <c r="Q1701" s="622"/>
      <c r="R1701" s="498"/>
      <c r="S1701" s="498"/>
      <c r="T1701" s="499"/>
    </row>
    <row r="1702" spans="1:20" ht="54.75" hidden="1" customHeight="1">
      <c r="A1702" s="273"/>
      <c r="B1702" s="481" t="str">
        <f t="shared" ref="B1702:N1708" si="256">B293</f>
        <v>M0153G0110N</v>
      </c>
      <c r="C1702" s="490" t="str">
        <f t="shared" si="256"/>
        <v>FUNCIONAMENTO PLANO DE COMUNICAÇÃO INSTITUCIONAL INTEGRADA</v>
      </c>
      <c r="D1702" s="483">
        <f t="shared" si="256"/>
        <v>8100</v>
      </c>
      <c r="E1702" s="484">
        <f t="shared" si="256"/>
        <v>108288</v>
      </c>
      <c r="F1702" s="526" t="str">
        <f t="shared" si="256"/>
        <v>ASCOM - UGR: 150030</v>
      </c>
      <c r="G1702" s="488" t="str">
        <f t="shared" si="256"/>
        <v>Eficácia</v>
      </c>
      <c r="H1702" s="489">
        <f t="shared" si="256"/>
        <v>1</v>
      </c>
      <c r="I1702" s="473">
        <f t="shared" si="256"/>
        <v>53135</v>
      </c>
      <c r="J1702" s="473">
        <f t="shared" si="256"/>
        <v>0</v>
      </c>
      <c r="K1702" s="473">
        <f t="shared" si="256"/>
        <v>53135</v>
      </c>
      <c r="L1702" s="167">
        <f t="shared" si="256"/>
        <v>53135</v>
      </c>
      <c r="M1702" s="167">
        <f t="shared" si="256"/>
        <v>0</v>
      </c>
      <c r="N1702" s="167">
        <f t="shared" si="256"/>
        <v>53135</v>
      </c>
      <c r="O1702" s="405"/>
      <c r="P1702" s="405"/>
    </row>
    <row r="1703" spans="1:20" ht="54.75" hidden="1" customHeight="1">
      <c r="A1703" s="273"/>
      <c r="B1703" s="481" t="str">
        <f t="shared" si="256"/>
        <v>M0156G0113N</v>
      </c>
      <c r="C1703" s="490" t="str">
        <f t="shared" si="256"/>
        <v>AUDITORIA NOS CAMPI</v>
      </c>
      <c r="D1703" s="483">
        <f t="shared" si="256"/>
        <v>8100</v>
      </c>
      <c r="E1703" s="484">
        <f t="shared" si="256"/>
        <v>108288</v>
      </c>
      <c r="F1703" s="526" t="str">
        <f t="shared" si="256"/>
        <v>AUDIN - UGR: 150035</v>
      </c>
      <c r="G1703" s="488" t="str">
        <f t="shared" si="256"/>
        <v>Unidade Auditada</v>
      </c>
      <c r="H1703" s="489">
        <f t="shared" si="256"/>
        <v>10</v>
      </c>
      <c r="I1703" s="473">
        <f t="shared" si="256"/>
        <v>22925</v>
      </c>
      <c r="J1703" s="473">
        <f t="shared" si="256"/>
        <v>0</v>
      </c>
      <c r="K1703" s="473">
        <f t="shared" si="256"/>
        <v>22925</v>
      </c>
      <c r="L1703" s="167">
        <f t="shared" si="256"/>
        <v>22925</v>
      </c>
      <c r="M1703" s="167">
        <f t="shared" si="256"/>
        <v>0</v>
      </c>
      <c r="N1703" s="167">
        <f t="shared" si="256"/>
        <v>22925</v>
      </c>
      <c r="O1703" s="405"/>
      <c r="P1703" s="405"/>
    </row>
    <row r="1704" spans="1:20" ht="54.75" hidden="1" customHeight="1">
      <c r="A1704" s="273"/>
      <c r="B1704" s="481" t="str">
        <f t="shared" si="256"/>
        <v>M0175G0103N</v>
      </c>
      <c r="C1704" s="490" t="str">
        <f t="shared" si="256"/>
        <v>ATIVIDADES EXPOSITIVAS</v>
      </c>
      <c r="D1704" s="483">
        <f t="shared" si="256"/>
        <v>8100</v>
      </c>
      <c r="E1704" s="484">
        <f t="shared" si="256"/>
        <v>108288</v>
      </c>
      <c r="F1704" s="526" t="str">
        <f t="shared" si="256"/>
        <v>MUSEU DA UFPA - UGR: 150153</v>
      </c>
      <c r="G1704" s="488" t="str">
        <f t="shared" si="256"/>
        <v>Exposição</v>
      </c>
      <c r="H1704" s="489">
        <f t="shared" si="256"/>
        <v>1</v>
      </c>
      <c r="I1704" s="473">
        <f t="shared" si="256"/>
        <v>122508</v>
      </c>
      <c r="J1704" s="473">
        <f t="shared" si="256"/>
        <v>0</v>
      </c>
      <c r="K1704" s="473">
        <f t="shared" si="256"/>
        <v>122508</v>
      </c>
      <c r="L1704" s="167">
        <f t="shared" si="256"/>
        <v>122508</v>
      </c>
      <c r="M1704" s="167">
        <f t="shared" si="256"/>
        <v>0</v>
      </c>
      <c r="N1704" s="167">
        <f t="shared" si="256"/>
        <v>122508</v>
      </c>
      <c r="O1704" s="405"/>
      <c r="P1704" s="405"/>
    </row>
    <row r="1705" spans="1:20" ht="54.75" hidden="1" customHeight="1">
      <c r="A1705" s="273"/>
      <c r="B1705" s="481" t="str">
        <f t="shared" si="256"/>
        <v>M0189G0101N</v>
      </c>
      <c r="C1705" s="490" t="str">
        <f t="shared" si="256"/>
        <v>AÇÕES ESTRATÉGICAS</v>
      </c>
      <c r="D1705" s="483">
        <f t="shared" si="256"/>
        <v>8100</v>
      </c>
      <c r="E1705" s="484">
        <f t="shared" si="256"/>
        <v>108288</v>
      </c>
      <c r="F1705" s="526" t="str">
        <f t="shared" si="256"/>
        <v>Gabinete da Reitoria - UGR: 151824</v>
      </c>
      <c r="G1705" s="488" t="str">
        <f t="shared" si="256"/>
        <v>Eficácia</v>
      </c>
      <c r="H1705" s="489">
        <f t="shared" si="256"/>
        <v>1</v>
      </c>
      <c r="I1705" s="473">
        <f t="shared" si="256"/>
        <v>8983621</v>
      </c>
      <c r="J1705" s="473">
        <f t="shared" si="256"/>
        <v>1379439</v>
      </c>
      <c r="K1705" s="473">
        <f t="shared" si="256"/>
        <v>10363060</v>
      </c>
      <c r="L1705" s="167">
        <f t="shared" si="256"/>
        <v>8983621</v>
      </c>
      <c r="M1705" s="167">
        <f t="shared" si="256"/>
        <v>1379439</v>
      </c>
      <c r="N1705" s="167">
        <f t="shared" si="256"/>
        <v>10363060</v>
      </c>
      <c r="O1705" s="405"/>
      <c r="P1705" s="405"/>
    </row>
    <row r="1706" spans="1:20" ht="54.75" hidden="1" customHeight="1">
      <c r="A1706" s="273"/>
      <c r="B1706" s="481" t="str">
        <f t="shared" si="256"/>
        <v>M011MG0101N</v>
      </c>
      <c r="C1706" s="490" t="str">
        <f t="shared" si="256"/>
        <v>REPRESENTAÇÃO DA ADMINISTRAÇÃO SUPERIOR E GESTORES DE UNIDADES REGIONAIS</v>
      </c>
      <c r="D1706" s="483">
        <f t="shared" si="256"/>
        <v>8100</v>
      </c>
      <c r="E1706" s="484">
        <f t="shared" si="256"/>
        <v>108288</v>
      </c>
      <c r="F1706" s="526" t="str">
        <f t="shared" si="256"/>
        <v>Gabinete da Reitoria - UGR: 151824</v>
      </c>
      <c r="G1706" s="488" t="str">
        <f t="shared" si="256"/>
        <v>Eficácia</v>
      </c>
      <c r="H1706" s="489">
        <f t="shared" si="256"/>
        <v>1</v>
      </c>
      <c r="I1706" s="473">
        <f t="shared" si="256"/>
        <v>1000000</v>
      </c>
      <c r="J1706" s="473">
        <f t="shared" si="256"/>
        <v>0</v>
      </c>
      <c r="K1706" s="473">
        <f t="shared" si="256"/>
        <v>1000000</v>
      </c>
      <c r="L1706" s="167">
        <f t="shared" si="256"/>
        <v>1000000</v>
      </c>
      <c r="M1706" s="167">
        <f t="shared" si="256"/>
        <v>0</v>
      </c>
      <c r="N1706" s="167">
        <f t="shared" si="256"/>
        <v>1000000</v>
      </c>
      <c r="O1706" s="405"/>
      <c r="P1706" s="405"/>
    </row>
    <row r="1707" spans="1:20" ht="54.75" hidden="1" customHeight="1">
      <c r="A1707" s="273"/>
      <c r="B1707" s="481" t="str">
        <f t="shared" si="256"/>
        <v>M1402G2201N</v>
      </c>
      <c r="C1707" s="490" t="str">
        <f t="shared" si="256"/>
        <v>PROJETO NEWNTON1</v>
      </c>
      <c r="D1707" s="483">
        <f t="shared" si="256"/>
        <v>8100</v>
      </c>
      <c r="E1707" s="484">
        <f t="shared" si="256"/>
        <v>108288</v>
      </c>
      <c r="F1707" s="526" t="str">
        <f t="shared" si="256"/>
        <v>Gabinete da Reitoria - UGR: 151824</v>
      </c>
      <c r="G1707" s="488" t="str">
        <f t="shared" si="256"/>
        <v>Projeto Executado</v>
      </c>
      <c r="H1707" s="489">
        <f t="shared" si="256"/>
        <v>1</v>
      </c>
      <c r="I1707" s="473">
        <f t="shared" si="256"/>
        <v>1000000</v>
      </c>
      <c r="J1707" s="473">
        <f t="shared" si="256"/>
        <v>0</v>
      </c>
      <c r="K1707" s="473">
        <f t="shared" si="256"/>
        <v>1000000</v>
      </c>
      <c r="L1707" s="167">
        <f t="shared" si="256"/>
        <v>1000000</v>
      </c>
      <c r="M1707" s="167">
        <f t="shared" si="256"/>
        <v>0</v>
      </c>
      <c r="N1707" s="167">
        <f t="shared" si="256"/>
        <v>1000000</v>
      </c>
      <c r="O1707" s="405"/>
      <c r="P1707" s="405"/>
    </row>
    <row r="1708" spans="1:20" ht="54.75" hidden="1" customHeight="1">
      <c r="A1708" s="273"/>
      <c r="B1708" s="481" t="str">
        <f t="shared" si="256"/>
        <v>M0127G0110N</v>
      </c>
      <c r="C1708" s="490" t="str">
        <f t="shared" si="256"/>
        <v>PROJETO MULTICOM</v>
      </c>
      <c r="D1708" s="483">
        <f t="shared" si="256"/>
        <v>8100</v>
      </c>
      <c r="E1708" s="484">
        <f t="shared" si="256"/>
        <v>108288</v>
      </c>
      <c r="F1708" s="526" t="str">
        <f t="shared" si="256"/>
        <v>Gabinete da Reitoria - UGR: 151824</v>
      </c>
      <c r="G1708" s="488" t="str">
        <f t="shared" si="256"/>
        <v>Eficácia</v>
      </c>
      <c r="H1708" s="489">
        <f t="shared" si="256"/>
        <v>1</v>
      </c>
      <c r="I1708" s="473">
        <f t="shared" si="256"/>
        <v>602393</v>
      </c>
      <c r="J1708" s="473">
        <f t="shared" si="256"/>
        <v>0</v>
      </c>
      <c r="K1708" s="473">
        <f t="shared" si="256"/>
        <v>602393</v>
      </c>
      <c r="L1708" s="167"/>
      <c r="M1708" s="167"/>
      <c r="N1708" s="167"/>
      <c r="O1708" s="405"/>
      <c r="P1708" s="405"/>
    </row>
    <row r="1709" spans="1:20" ht="54.75" hidden="1" customHeight="1">
      <c r="A1709" s="273"/>
      <c r="B1709" s="481" t="str">
        <f t="shared" ref="B1709:N1709" si="257">B331</f>
        <v>M0158G0101N</v>
      </c>
      <c r="C1709" s="490" t="str">
        <f t="shared" si="257"/>
        <v>APOIO AS ATIVIDADES DA SECRETARIA MULTICAMPI</v>
      </c>
      <c r="D1709" s="483">
        <f t="shared" si="257"/>
        <v>8100</v>
      </c>
      <c r="E1709" s="484">
        <f t="shared" si="257"/>
        <v>108288</v>
      </c>
      <c r="F1709" s="526" t="str">
        <f t="shared" si="257"/>
        <v>Vice-Reitoria</v>
      </c>
      <c r="G1709" s="488" t="str">
        <f t="shared" si="257"/>
        <v>Eficácia</v>
      </c>
      <c r="H1709" s="489">
        <f t="shared" si="257"/>
        <v>1</v>
      </c>
      <c r="I1709" s="473">
        <f t="shared" si="257"/>
        <v>2200000</v>
      </c>
      <c r="J1709" s="473">
        <f t="shared" si="257"/>
        <v>0</v>
      </c>
      <c r="K1709" s="473">
        <f t="shared" si="257"/>
        <v>2200000</v>
      </c>
      <c r="L1709" s="167">
        <f t="shared" si="257"/>
        <v>2200000</v>
      </c>
      <c r="M1709" s="167">
        <f t="shared" si="257"/>
        <v>0</v>
      </c>
      <c r="N1709" s="167">
        <f t="shared" si="257"/>
        <v>2200000</v>
      </c>
      <c r="O1709" s="405"/>
      <c r="P1709" s="405"/>
    </row>
    <row r="1710" spans="1:20" ht="54.75" hidden="1" customHeight="1">
      <c r="A1710" s="273"/>
      <c r="B1710" s="481" t="str">
        <f t="shared" ref="B1710:N1723" si="258">B374</f>
        <v>M0106G0110N</v>
      </c>
      <c r="C1710" s="490" t="str">
        <f t="shared" si="258"/>
        <v>SERVIÇO DE PUBLICIDADE LEGAL - RADIOBRÁS</v>
      </c>
      <c r="D1710" s="483">
        <f t="shared" si="258"/>
        <v>8100</v>
      </c>
      <c r="E1710" s="484">
        <f t="shared" si="258"/>
        <v>108288</v>
      </c>
      <c r="F1710" s="526" t="str">
        <f t="shared" si="258"/>
        <v>PROAD</v>
      </c>
      <c r="G1710" s="488" t="str">
        <f t="shared" si="258"/>
        <v>Publicidade Institucional</v>
      </c>
      <c r="H1710" s="489">
        <f t="shared" si="258"/>
        <v>1</v>
      </c>
      <c r="I1710" s="473">
        <f t="shared" si="258"/>
        <v>656280</v>
      </c>
      <c r="J1710" s="473">
        <f t="shared" si="258"/>
        <v>0</v>
      </c>
      <c r="K1710" s="473">
        <f t="shared" si="258"/>
        <v>656280</v>
      </c>
      <c r="L1710" s="167">
        <f t="shared" si="258"/>
        <v>656280</v>
      </c>
      <c r="M1710" s="167">
        <f t="shared" si="258"/>
        <v>0</v>
      </c>
      <c r="N1710" s="167">
        <f t="shared" si="258"/>
        <v>656280</v>
      </c>
      <c r="O1710" s="405"/>
      <c r="P1710" s="405"/>
    </row>
    <row r="1711" spans="1:20" ht="54.75" hidden="1" customHeight="1">
      <c r="A1711" s="273"/>
      <c r="B1711" s="481" t="str">
        <f t="shared" si="258"/>
        <v>M0107G0110N</v>
      </c>
      <c r="C1711" s="490" t="str">
        <f t="shared" si="258"/>
        <v>CONTRATO DE PRESTAÇÃO DE SERVIÇOS COM A EMPRESA BRASILEIRA DE CORREIOS E TELÉGRAFOS - EBCT</v>
      </c>
      <c r="D1711" s="483">
        <f t="shared" si="258"/>
        <v>8100</v>
      </c>
      <c r="E1711" s="484">
        <f t="shared" si="258"/>
        <v>108288</v>
      </c>
      <c r="F1711" s="526" t="str">
        <f t="shared" si="258"/>
        <v>PROAD</v>
      </c>
      <c r="G1711" s="488" t="str">
        <f t="shared" si="258"/>
        <v>Atividades Realizadas</v>
      </c>
      <c r="H1711" s="489">
        <f t="shared" si="258"/>
        <v>1</v>
      </c>
      <c r="I1711" s="473">
        <f t="shared" si="258"/>
        <v>230000</v>
      </c>
      <c r="J1711" s="473">
        <f t="shared" si="258"/>
        <v>0</v>
      </c>
      <c r="K1711" s="473">
        <f t="shared" si="258"/>
        <v>230000</v>
      </c>
      <c r="L1711" s="167">
        <f t="shared" si="258"/>
        <v>230000</v>
      </c>
      <c r="M1711" s="167">
        <f t="shared" si="258"/>
        <v>0</v>
      </c>
      <c r="N1711" s="167">
        <f t="shared" si="258"/>
        <v>230000</v>
      </c>
      <c r="O1711" s="405"/>
      <c r="P1711" s="405"/>
    </row>
    <row r="1712" spans="1:20" ht="54.75" hidden="1" customHeight="1">
      <c r="A1712" s="273"/>
      <c r="B1712" s="481" t="str">
        <f t="shared" si="258"/>
        <v>M0109G0110N</v>
      </c>
      <c r="C1712" s="490" t="str">
        <f t="shared" si="258"/>
        <v>IMPRENSA NACIONAL</v>
      </c>
      <c r="D1712" s="483">
        <f t="shared" si="258"/>
        <v>8100</v>
      </c>
      <c r="E1712" s="484">
        <f t="shared" si="258"/>
        <v>108288</v>
      </c>
      <c r="F1712" s="526" t="str">
        <f t="shared" si="258"/>
        <v>PROAD</v>
      </c>
      <c r="G1712" s="488" t="str">
        <f t="shared" si="258"/>
        <v>Atendimento Realizado</v>
      </c>
      <c r="H1712" s="489">
        <f t="shared" si="258"/>
        <v>1</v>
      </c>
      <c r="I1712" s="473">
        <f t="shared" si="258"/>
        <v>109841</v>
      </c>
      <c r="J1712" s="473">
        <f t="shared" si="258"/>
        <v>0</v>
      </c>
      <c r="K1712" s="473">
        <f t="shared" si="258"/>
        <v>109841</v>
      </c>
      <c r="L1712" s="167">
        <f t="shared" si="258"/>
        <v>109841</v>
      </c>
      <c r="M1712" s="167">
        <f t="shared" si="258"/>
        <v>0</v>
      </c>
      <c r="N1712" s="167">
        <f t="shared" si="258"/>
        <v>109841</v>
      </c>
      <c r="O1712" s="405"/>
      <c r="P1712" s="405"/>
    </row>
    <row r="1713" spans="1:16" ht="54.75" hidden="1" customHeight="1">
      <c r="A1713" s="273"/>
      <c r="B1713" s="481" t="str">
        <f t="shared" si="258"/>
        <v>M0110G0117N</v>
      </c>
      <c r="C1713" s="490" t="str">
        <f t="shared" si="258"/>
        <v>LOCAÇÃO DE MÁQUINAS COPIADORAS</v>
      </c>
      <c r="D1713" s="483">
        <f t="shared" si="258"/>
        <v>8100</v>
      </c>
      <c r="E1713" s="484">
        <f t="shared" si="258"/>
        <v>108288</v>
      </c>
      <c r="F1713" s="526" t="str">
        <f t="shared" si="258"/>
        <v>PROAD</v>
      </c>
      <c r="G1713" s="488" t="str">
        <f t="shared" si="258"/>
        <v>Equipamentos Recuperados</v>
      </c>
      <c r="H1713" s="489">
        <f t="shared" si="258"/>
        <v>1</v>
      </c>
      <c r="I1713" s="473">
        <f t="shared" si="258"/>
        <v>120000</v>
      </c>
      <c r="J1713" s="473">
        <f t="shared" si="258"/>
        <v>0</v>
      </c>
      <c r="K1713" s="473">
        <f t="shared" si="258"/>
        <v>120000</v>
      </c>
      <c r="L1713" s="167">
        <f t="shared" si="258"/>
        <v>120000</v>
      </c>
      <c r="M1713" s="167">
        <f t="shared" si="258"/>
        <v>0</v>
      </c>
      <c r="N1713" s="167">
        <f t="shared" si="258"/>
        <v>120000</v>
      </c>
      <c r="O1713" s="405"/>
      <c r="P1713" s="405"/>
    </row>
    <row r="1714" spans="1:16" ht="54.75" hidden="1" customHeight="1">
      <c r="A1714" s="273"/>
      <c r="B1714" s="481" t="str">
        <f t="shared" si="258"/>
        <v>M0113G0117N</v>
      </c>
      <c r="C1714" s="490" t="str">
        <f t="shared" si="258"/>
        <v>CONTRATO DE FORNECIMENTO DE ÁGUA CANALIZADA - COSANPA</v>
      </c>
      <c r="D1714" s="483">
        <f t="shared" si="258"/>
        <v>8100</v>
      </c>
      <c r="E1714" s="484">
        <f t="shared" si="258"/>
        <v>108288</v>
      </c>
      <c r="F1714" s="526" t="str">
        <f t="shared" si="258"/>
        <v>PROAD</v>
      </c>
      <c r="G1714" s="488" t="str">
        <f t="shared" si="258"/>
        <v>Atividades Realizadas</v>
      </c>
      <c r="H1714" s="489">
        <f t="shared" si="258"/>
        <v>1</v>
      </c>
      <c r="I1714" s="473">
        <f t="shared" si="258"/>
        <v>475470</v>
      </c>
      <c r="J1714" s="473">
        <f t="shared" si="258"/>
        <v>0</v>
      </c>
      <c r="K1714" s="473">
        <f t="shared" si="258"/>
        <v>475470</v>
      </c>
      <c r="L1714" s="167">
        <f t="shared" si="258"/>
        <v>475470</v>
      </c>
      <c r="M1714" s="167">
        <f t="shared" si="258"/>
        <v>0</v>
      </c>
      <c r="N1714" s="167">
        <f t="shared" si="258"/>
        <v>475470</v>
      </c>
      <c r="O1714" s="405"/>
      <c r="P1714" s="405"/>
    </row>
    <row r="1715" spans="1:16" ht="54.75" hidden="1" customHeight="1">
      <c r="A1715" s="273"/>
      <c r="B1715" s="481" t="str">
        <f t="shared" si="258"/>
        <v>M0117G0117N</v>
      </c>
      <c r="C1715" s="490" t="str">
        <f t="shared" si="258"/>
        <v>PRESTAÇÃO DE SERVIÇOS DE TELEFONIA FIXA - OI</v>
      </c>
      <c r="D1715" s="483">
        <f t="shared" si="258"/>
        <v>8100</v>
      </c>
      <c r="E1715" s="484">
        <f t="shared" si="258"/>
        <v>108288</v>
      </c>
      <c r="F1715" s="526" t="str">
        <f t="shared" si="258"/>
        <v>PROAD</v>
      </c>
      <c r="G1715" s="488" t="str">
        <f t="shared" si="258"/>
        <v>Atendimento Realizado</v>
      </c>
      <c r="H1715" s="489">
        <f t="shared" si="258"/>
        <v>1</v>
      </c>
      <c r="I1715" s="473">
        <f t="shared" si="258"/>
        <v>490000</v>
      </c>
      <c r="J1715" s="473">
        <f t="shared" si="258"/>
        <v>0</v>
      </c>
      <c r="K1715" s="473">
        <f t="shared" si="258"/>
        <v>490000</v>
      </c>
      <c r="L1715" s="167">
        <f t="shared" si="258"/>
        <v>490000</v>
      </c>
      <c r="M1715" s="167">
        <f t="shared" si="258"/>
        <v>0</v>
      </c>
      <c r="N1715" s="167">
        <f t="shared" si="258"/>
        <v>490000</v>
      </c>
      <c r="O1715" s="405"/>
      <c r="P1715" s="405"/>
    </row>
    <row r="1716" spans="1:16" ht="54.75" hidden="1" customHeight="1">
      <c r="A1716" s="273"/>
      <c r="B1716" s="481" t="str">
        <f t="shared" si="258"/>
        <v>M0122G0114N</v>
      </c>
      <c r="C1716" s="490" t="str">
        <f t="shared" si="258"/>
        <v xml:space="preserve">AQUISIÇÃO DE MATERIAL DE CONSUMO DE USO GERAL </v>
      </c>
      <c r="D1716" s="483">
        <f t="shared" si="258"/>
        <v>8100</v>
      </c>
      <c r="E1716" s="484">
        <f t="shared" si="258"/>
        <v>108288</v>
      </c>
      <c r="F1716" s="526" t="str">
        <f t="shared" si="258"/>
        <v>PROAD</v>
      </c>
      <c r="G1716" s="488" t="str">
        <f t="shared" si="258"/>
        <v>Aquisição de Material de Consumo</v>
      </c>
      <c r="H1716" s="489">
        <f t="shared" si="258"/>
        <v>1</v>
      </c>
      <c r="I1716" s="473">
        <f t="shared" si="258"/>
        <v>1031821</v>
      </c>
      <c r="J1716" s="473">
        <f t="shared" si="258"/>
        <v>0</v>
      </c>
      <c r="K1716" s="473">
        <f t="shared" si="258"/>
        <v>1031821</v>
      </c>
      <c r="L1716" s="167">
        <f t="shared" si="258"/>
        <v>1031821</v>
      </c>
      <c r="M1716" s="167">
        <f t="shared" si="258"/>
        <v>0</v>
      </c>
      <c r="N1716" s="167">
        <f t="shared" si="258"/>
        <v>1031821</v>
      </c>
      <c r="O1716" s="405"/>
      <c r="P1716" s="405"/>
    </row>
    <row r="1717" spans="1:16" ht="54.75" hidden="1" customHeight="1">
      <c r="A1717" s="273"/>
      <c r="B1717" s="481" t="str">
        <f t="shared" si="258"/>
        <v>M0126G0118N</v>
      </c>
      <c r="C1717" s="490" t="str">
        <f t="shared" si="258"/>
        <v>CONTRATO DE PRESTAÇÃO DE SERVIÇO COM A SOCIEDADE PARANAENSE DE CULTURA - SISTEMA PERGAMUM</v>
      </c>
      <c r="D1717" s="483">
        <f t="shared" si="258"/>
        <v>8100</v>
      </c>
      <c r="E1717" s="484">
        <f t="shared" si="258"/>
        <v>108288</v>
      </c>
      <c r="F1717" s="526" t="str">
        <f t="shared" si="258"/>
        <v>PROAD</v>
      </c>
      <c r="G1717" s="488" t="str">
        <f t="shared" si="258"/>
        <v>Eficácia</v>
      </c>
      <c r="H1717" s="489">
        <f t="shared" si="258"/>
        <v>1</v>
      </c>
      <c r="I1717" s="473">
        <f t="shared" si="258"/>
        <v>9790</v>
      </c>
      <c r="J1717" s="473">
        <f t="shared" si="258"/>
        <v>0</v>
      </c>
      <c r="K1717" s="473">
        <f t="shared" si="258"/>
        <v>9790</v>
      </c>
      <c r="L1717" s="167">
        <f t="shared" si="258"/>
        <v>9790</v>
      </c>
      <c r="M1717" s="167">
        <f t="shared" si="258"/>
        <v>0</v>
      </c>
      <c r="N1717" s="167">
        <f t="shared" si="258"/>
        <v>9790</v>
      </c>
      <c r="O1717" s="405"/>
      <c r="P1717" s="405"/>
    </row>
    <row r="1718" spans="1:16" ht="54.75" hidden="1" customHeight="1">
      <c r="A1718" s="273"/>
      <c r="B1718" s="481" t="str">
        <f t="shared" si="258"/>
        <v>M0129G0113N</v>
      </c>
      <c r="C1718" s="490" t="str">
        <f t="shared" si="258"/>
        <v>CONTRATO DE PRESTAÇÃO DE SERVIÇOS COM A INFRAERO</v>
      </c>
      <c r="D1718" s="483">
        <f t="shared" si="258"/>
        <v>8100</v>
      </c>
      <c r="E1718" s="484">
        <f t="shared" si="258"/>
        <v>108288</v>
      </c>
      <c r="F1718" s="526" t="str">
        <f t="shared" si="258"/>
        <v>PROAD</v>
      </c>
      <c r="G1718" s="488" t="str">
        <f t="shared" si="258"/>
        <v>Atividades Realizadas</v>
      </c>
      <c r="H1718" s="489">
        <f t="shared" si="258"/>
        <v>1</v>
      </c>
      <c r="I1718" s="473">
        <f t="shared" si="258"/>
        <v>242000</v>
      </c>
      <c r="J1718" s="473">
        <f t="shared" si="258"/>
        <v>0</v>
      </c>
      <c r="K1718" s="473">
        <f t="shared" si="258"/>
        <v>242000</v>
      </c>
      <c r="L1718" s="167">
        <f t="shared" si="258"/>
        <v>242000</v>
      </c>
      <c r="M1718" s="167">
        <f t="shared" si="258"/>
        <v>0</v>
      </c>
      <c r="N1718" s="167">
        <f t="shared" si="258"/>
        <v>242000</v>
      </c>
      <c r="O1718" s="405"/>
      <c r="P1718" s="405"/>
    </row>
    <row r="1719" spans="1:16" ht="54.75" hidden="1" customHeight="1">
      <c r="A1719" s="273"/>
      <c r="B1719" s="481" t="str">
        <f t="shared" si="258"/>
        <v>M0183G1906N</v>
      </c>
      <c r="C1719" s="490" t="str">
        <f t="shared" si="258"/>
        <v>MANUTENÇÃO DE EQUIPAMENTOS ODONTOLÓGICOS</v>
      </c>
      <c r="D1719" s="483">
        <f t="shared" si="258"/>
        <v>8100</v>
      </c>
      <c r="E1719" s="484">
        <f t="shared" si="258"/>
        <v>108288</v>
      </c>
      <c r="F1719" s="526" t="str">
        <f t="shared" si="258"/>
        <v>PROAD</v>
      </c>
      <c r="G1719" s="488" t="str">
        <f t="shared" si="258"/>
        <v>Manutenção Realizada</v>
      </c>
      <c r="H1719" s="489">
        <f t="shared" si="258"/>
        <v>1</v>
      </c>
      <c r="I1719" s="473">
        <f t="shared" si="258"/>
        <v>160000</v>
      </c>
      <c r="J1719" s="473">
        <f t="shared" si="258"/>
        <v>0</v>
      </c>
      <c r="K1719" s="473">
        <f t="shared" si="258"/>
        <v>160000</v>
      </c>
      <c r="L1719" s="167">
        <f t="shared" si="258"/>
        <v>160000</v>
      </c>
      <c r="M1719" s="167">
        <f t="shared" si="258"/>
        <v>0</v>
      </c>
      <c r="N1719" s="167">
        <f t="shared" si="258"/>
        <v>160000</v>
      </c>
      <c r="O1719" s="405"/>
      <c r="P1719" s="405"/>
    </row>
    <row r="1720" spans="1:16" ht="54.75" hidden="1" customHeight="1">
      <c r="A1720" s="273"/>
      <c r="B1720" s="481" t="str">
        <f t="shared" si="258"/>
        <v>M0185G0115N</v>
      </c>
      <c r="C1720" s="490" t="str">
        <f t="shared" si="258"/>
        <v>COMPLEMENTAÇÃO PASEP</v>
      </c>
      <c r="D1720" s="483">
        <f t="shared" si="258"/>
        <v>8100</v>
      </c>
      <c r="E1720" s="484">
        <f t="shared" si="258"/>
        <v>108288</v>
      </c>
      <c r="F1720" s="526" t="str">
        <f t="shared" si="258"/>
        <v>PROAD</v>
      </c>
      <c r="G1720" s="488" t="str">
        <f t="shared" si="258"/>
        <v>Obrigações</v>
      </c>
      <c r="H1720" s="489">
        <f t="shared" si="258"/>
        <v>1</v>
      </c>
      <c r="I1720" s="473">
        <f t="shared" si="258"/>
        <v>250736</v>
      </c>
      <c r="J1720" s="473">
        <f t="shared" si="258"/>
        <v>0</v>
      </c>
      <c r="K1720" s="473">
        <f t="shared" si="258"/>
        <v>250736</v>
      </c>
      <c r="L1720" s="167">
        <f t="shared" si="258"/>
        <v>250736</v>
      </c>
      <c r="M1720" s="167">
        <f t="shared" si="258"/>
        <v>0</v>
      </c>
      <c r="N1720" s="167">
        <f t="shared" si="258"/>
        <v>250736</v>
      </c>
      <c r="O1720" s="405"/>
      <c r="P1720" s="405"/>
    </row>
    <row r="1721" spans="1:16" ht="54.75" hidden="1" customHeight="1">
      <c r="A1721" s="273"/>
      <c r="B1721" s="481" t="str">
        <f t="shared" si="258"/>
        <v>M011KG0101N</v>
      </c>
      <c r="C1721" s="490" t="str">
        <f t="shared" si="258"/>
        <v>BOLSA ESTÁGIO</v>
      </c>
      <c r="D1721" s="483">
        <f t="shared" si="258"/>
        <v>8100</v>
      </c>
      <c r="E1721" s="484">
        <f t="shared" si="258"/>
        <v>108288</v>
      </c>
      <c r="F1721" s="526" t="str">
        <f t="shared" si="258"/>
        <v>PROAD</v>
      </c>
      <c r="G1721" s="488" t="str">
        <f t="shared" si="258"/>
        <v>Atendimento Realizado</v>
      </c>
      <c r="H1721" s="489">
        <f t="shared" si="258"/>
        <v>1</v>
      </c>
      <c r="I1721" s="473">
        <f t="shared" si="258"/>
        <v>3200000</v>
      </c>
      <c r="J1721" s="473">
        <f t="shared" si="258"/>
        <v>0</v>
      </c>
      <c r="K1721" s="473">
        <f t="shared" si="258"/>
        <v>3200000</v>
      </c>
      <c r="L1721" s="167">
        <f t="shared" si="258"/>
        <v>3200000</v>
      </c>
      <c r="M1721" s="167">
        <f t="shared" si="258"/>
        <v>0</v>
      </c>
      <c r="N1721" s="167">
        <f t="shared" si="258"/>
        <v>3200000</v>
      </c>
      <c r="O1721" s="405"/>
      <c r="P1721" s="405"/>
    </row>
    <row r="1722" spans="1:16" ht="54.75" hidden="1" customHeight="1">
      <c r="A1722" s="273"/>
      <c r="B1722" s="481" t="str">
        <f t="shared" si="258"/>
        <v>M011LG0101N</v>
      </c>
      <c r="C1722" s="490" t="str">
        <f t="shared" si="258"/>
        <v>CONTRATO DE ALUGUEL - CAMPUS DE ANANINDEUA</v>
      </c>
      <c r="D1722" s="483">
        <f t="shared" si="258"/>
        <v>8100</v>
      </c>
      <c r="E1722" s="484">
        <f t="shared" si="258"/>
        <v>108288</v>
      </c>
      <c r="F1722" s="526" t="str">
        <f t="shared" si="258"/>
        <v>PROAD</v>
      </c>
      <c r="G1722" s="488" t="str">
        <f t="shared" si="258"/>
        <v>Funcionamento da Unidade</v>
      </c>
      <c r="H1722" s="489">
        <f t="shared" si="258"/>
        <v>1</v>
      </c>
      <c r="I1722" s="473">
        <f t="shared" si="258"/>
        <v>290000</v>
      </c>
      <c r="J1722" s="473">
        <f t="shared" si="258"/>
        <v>0</v>
      </c>
      <c r="K1722" s="473">
        <f t="shared" si="258"/>
        <v>290000</v>
      </c>
      <c r="L1722" s="167">
        <f t="shared" si="258"/>
        <v>290000</v>
      </c>
      <c r="M1722" s="167">
        <f t="shared" si="258"/>
        <v>0</v>
      </c>
      <c r="N1722" s="167">
        <f t="shared" si="258"/>
        <v>290000</v>
      </c>
      <c r="O1722" s="405"/>
      <c r="P1722" s="405"/>
    </row>
    <row r="1723" spans="1:16" ht="54.75" hidden="1" customHeight="1">
      <c r="A1723" s="273"/>
      <c r="B1723" s="481" t="str">
        <f t="shared" si="258"/>
        <v>M011YG0117N</v>
      </c>
      <c r="C1723" s="490" t="str">
        <f t="shared" si="258"/>
        <v>MANUTENÇÃO PROAD</v>
      </c>
      <c r="D1723" s="483">
        <f t="shared" si="258"/>
        <v>8100</v>
      </c>
      <c r="E1723" s="484">
        <f t="shared" si="258"/>
        <v>108288</v>
      </c>
      <c r="F1723" s="526" t="str">
        <f t="shared" si="258"/>
        <v>PROAD</v>
      </c>
      <c r="G1723" s="488" t="str">
        <f t="shared" si="258"/>
        <v>Manutenção Realizada</v>
      </c>
      <c r="H1723" s="489">
        <f t="shared" si="258"/>
        <v>1</v>
      </c>
      <c r="I1723" s="473">
        <f t="shared" si="258"/>
        <v>350000</v>
      </c>
      <c r="J1723" s="473">
        <f t="shared" si="258"/>
        <v>0</v>
      </c>
      <c r="K1723" s="473">
        <f t="shared" si="258"/>
        <v>350000</v>
      </c>
      <c r="L1723" s="167">
        <f t="shared" si="258"/>
        <v>350000</v>
      </c>
      <c r="M1723" s="167">
        <f t="shared" si="258"/>
        <v>0</v>
      </c>
      <c r="N1723" s="167">
        <f t="shared" si="258"/>
        <v>350000</v>
      </c>
      <c r="O1723" s="405"/>
      <c r="P1723" s="405"/>
    </row>
    <row r="1724" spans="1:16" ht="54.75" hidden="1" customHeight="1">
      <c r="A1724" s="273"/>
      <c r="B1724" s="481" t="str">
        <f t="shared" ref="B1724:N1731" si="259">B416</f>
        <v>M0105G0117N</v>
      </c>
      <c r="C1724" s="490" t="str">
        <f t="shared" si="259"/>
        <v xml:space="preserve">MANUTENÇÃO DOS ELEVADORES </v>
      </c>
      <c r="D1724" s="483">
        <f t="shared" si="259"/>
        <v>8100</v>
      </c>
      <c r="E1724" s="484" t="str">
        <f t="shared" si="259"/>
        <v>108288</v>
      </c>
      <c r="F1724" s="526" t="str">
        <f t="shared" si="259"/>
        <v>PRECAMPUS</v>
      </c>
      <c r="G1724" s="488" t="str">
        <f t="shared" si="259"/>
        <v>Equipamentos Recuperados</v>
      </c>
      <c r="H1724" s="489">
        <f t="shared" si="259"/>
        <v>6</v>
      </c>
      <c r="I1724" s="473">
        <f t="shared" si="259"/>
        <v>643200</v>
      </c>
      <c r="J1724" s="473">
        <f t="shared" si="259"/>
        <v>0</v>
      </c>
      <c r="K1724" s="473">
        <f t="shared" si="259"/>
        <v>643200</v>
      </c>
      <c r="L1724" s="167"/>
      <c r="M1724" s="167"/>
      <c r="N1724" s="167"/>
      <c r="O1724" s="405"/>
      <c r="P1724" s="405"/>
    </row>
    <row r="1725" spans="1:16" ht="54.75" hidden="1" customHeight="1">
      <c r="A1725" s="273"/>
      <c r="B1725" s="481" t="str">
        <f t="shared" si="259"/>
        <v>M0135G0114N</v>
      </c>
      <c r="C1725" s="490" t="str">
        <f t="shared" si="259"/>
        <v>CONTRATO DE EMPRESA ESPECIALIZADA EM COLETA DE RESÍDUOS DE SERVIÇOS DE SAÚDE</v>
      </c>
      <c r="D1725" s="483">
        <f t="shared" si="259"/>
        <v>8100</v>
      </c>
      <c r="E1725" s="484" t="str">
        <f t="shared" si="259"/>
        <v>108288</v>
      </c>
      <c r="F1725" s="526" t="str">
        <f t="shared" si="259"/>
        <v>PRECAMPUS</v>
      </c>
      <c r="G1725" s="488" t="str">
        <f t="shared" si="259"/>
        <v xml:space="preserve">Redução de Reclamações </v>
      </c>
      <c r="H1725" s="489">
        <f t="shared" si="259"/>
        <v>0.2</v>
      </c>
      <c r="I1725" s="473">
        <f t="shared" si="259"/>
        <v>78000</v>
      </c>
      <c r="J1725" s="473">
        <f t="shared" si="259"/>
        <v>0</v>
      </c>
      <c r="K1725" s="473">
        <f t="shared" si="259"/>
        <v>78000</v>
      </c>
      <c r="L1725" s="167">
        <f t="shared" si="259"/>
        <v>78000</v>
      </c>
      <c r="M1725" s="167">
        <f t="shared" si="259"/>
        <v>0</v>
      </c>
      <c r="N1725" s="167">
        <f t="shared" si="259"/>
        <v>78000</v>
      </c>
      <c r="O1725" s="405"/>
      <c r="P1725" s="405"/>
    </row>
    <row r="1726" spans="1:16" ht="54.75" hidden="1" customHeight="1">
      <c r="A1726" s="273"/>
      <c r="B1726" s="481" t="str">
        <f t="shared" si="259"/>
        <v>M0136G0117N</v>
      </c>
      <c r="C1726" s="490" t="str">
        <f t="shared" si="259"/>
        <v>CONTRATO DE SERVIÇOS DE MANUTENÇÃO DO SISTEMA DE TELEFONIA</v>
      </c>
      <c r="D1726" s="483">
        <f t="shared" si="259"/>
        <v>8100</v>
      </c>
      <c r="E1726" s="484" t="str">
        <f t="shared" si="259"/>
        <v>108288</v>
      </c>
      <c r="F1726" s="526" t="str">
        <f t="shared" si="259"/>
        <v>PRECAMPUS</v>
      </c>
      <c r="G1726" s="488" t="str">
        <f t="shared" si="259"/>
        <v>Serviços Realizados</v>
      </c>
      <c r="H1726" s="489">
        <f t="shared" si="259"/>
        <v>1</v>
      </c>
      <c r="I1726" s="473">
        <f t="shared" si="259"/>
        <v>300000</v>
      </c>
      <c r="J1726" s="473">
        <f t="shared" si="259"/>
        <v>0</v>
      </c>
      <c r="K1726" s="473">
        <f t="shared" si="259"/>
        <v>300000</v>
      </c>
      <c r="L1726" s="167">
        <f t="shared" si="259"/>
        <v>300000</v>
      </c>
      <c r="M1726" s="167">
        <f t="shared" si="259"/>
        <v>0</v>
      </c>
      <c r="N1726" s="167">
        <f t="shared" si="259"/>
        <v>300000</v>
      </c>
      <c r="O1726" s="405"/>
      <c r="P1726" s="405"/>
    </row>
    <row r="1727" spans="1:16" ht="54.75" hidden="1" customHeight="1">
      <c r="A1727" s="273"/>
      <c r="B1727" s="481" t="str">
        <f t="shared" si="259"/>
        <v>M0139G0113N</v>
      </c>
      <c r="C1727" s="490" t="str">
        <f t="shared" si="259"/>
        <v xml:space="preserve">CONTRATO DE SERVIÇOS TERCEIRIZADOS DE TRANSPORTES </v>
      </c>
      <c r="D1727" s="483">
        <f t="shared" si="259"/>
        <v>8100</v>
      </c>
      <c r="E1727" s="484" t="str">
        <f t="shared" si="259"/>
        <v>108288</v>
      </c>
      <c r="F1727" s="526" t="str">
        <f t="shared" si="259"/>
        <v>PRECAMPUS</v>
      </c>
      <c r="G1727" s="488" t="str">
        <f t="shared" si="259"/>
        <v xml:space="preserve">Motorista Contratado </v>
      </c>
      <c r="H1727" s="489">
        <f t="shared" si="259"/>
        <v>30</v>
      </c>
      <c r="I1727" s="473">
        <f t="shared" si="259"/>
        <v>2400000</v>
      </c>
      <c r="J1727" s="473">
        <f t="shared" si="259"/>
        <v>0</v>
      </c>
      <c r="K1727" s="473">
        <f t="shared" si="259"/>
        <v>2400000</v>
      </c>
      <c r="L1727" s="167">
        <f t="shared" si="259"/>
        <v>2400000</v>
      </c>
      <c r="M1727" s="167">
        <f t="shared" si="259"/>
        <v>0</v>
      </c>
      <c r="N1727" s="167">
        <f t="shared" si="259"/>
        <v>2400000</v>
      </c>
      <c r="O1727" s="405"/>
      <c r="P1727" s="405"/>
    </row>
    <row r="1728" spans="1:16" ht="54.75" hidden="1" customHeight="1">
      <c r="A1728" s="273"/>
      <c r="B1728" s="481" t="str">
        <f t="shared" si="259"/>
        <v>M0141G0117N</v>
      </c>
      <c r="C1728" s="490" t="str">
        <f t="shared" si="259"/>
        <v>CONTRATO DE MANUTENÇÃO DE EQUIPAMENTOS DE REFRIGERAÇÃO</v>
      </c>
      <c r="D1728" s="483">
        <f t="shared" si="259"/>
        <v>8100</v>
      </c>
      <c r="E1728" s="484" t="str">
        <f t="shared" si="259"/>
        <v>108288</v>
      </c>
      <c r="F1728" s="526" t="str">
        <f t="shared" si="259"/>
        <v>PRECAMPUS</v>
      </c>
      <c r="G1728" s="488" t="str">
        <f t="shared" si="259"/>
        <v>Serviços Realizados</v>
      </c>
      <c r="H1728" s="489">
        <f t="shared" si="259"/>
        <v>1</v>
      </c>
      <c r="I1728" s="473">
        <f t="shared" si="259"/>
        <v>1000000</v>
      </c>
      <c r="J1728" s="473">
        <f t="shared" si="259"/>
        <v>0</v>
      </c>
      <c r="K1728" s="473">
        <f t="shared" si="259"/>
        <v>1000000</v>
      </c>
      <c r="L1728" s="167">
        <f t="shared" si="259"/>
        <v>1000000</v>
      </c>
      <c r="M1728" s="167">
        <f t="shared" si="259"/>
        <v>0</v>
      </c>
      <c r="N1728" s="167">
        <f t="shared" si="259"/>
        <v>1000000</v>
      </c>
      <c r="O1728" s="405"/>
      <c r="P1728" s="405"/>
    </row>
    <row r="1729" spans="1:20" ht="54.75" hidden="1" customHeight="1">
      <c r="A1729" s="273"/>
      <c r="B1729" s="481" t="str">
        <f t="shared" si="259"/>
        <v>M0143G0117N</v>
      </c>
      <c r="C1729" s="490" t="str">
        <f t="shared" si="259"/>
        <v>CONTRATO DE SERVIÇOS DE MANUTENÇÃO ELÉTRICA</v>
      </c>
      <c r="D1729" s="483">
        <f t="shared" si="259"/>
        <v>8100</v>
      </c>
      <c r="E1729" s="484" t="str">
        <f t="shared" si="259"/>
        <v>108288</v>
      </c>
      <c r="F1729" s="526" t="str">
        <f t="shared" si="259"/>
        <v>PRECAMPUS</v>
      </c>
      <c r="G1729" s="488" t="str">
        <f t="shared" si="259"/>
        <v>Serviços Realizados</v>
      </c>
      <c r="H1729" s="489">
        <f t="shared" si="259"/>
        <v>1</v>
      </c>
      <c r="I1729" s="473">
        <f t="shared" si="259"/>
        <v>1000000</v>
      </c>
      <c r="J1729" s="473">
        <f t="shared" si="259"/>
        <v>0</v>
      </c>
      <c r="K1729" s="473">
        <f t="shared" si="259"/>
        <v>1000000</v>
      </c>
      <c r="L1729" s="167">
        <f t="shared" si="259"/>
        <v>1000000</v>
      </c>
      <c r="M1729" s="167">
        <f t="shared" si="259"/>
        <v>0</v>
      </c>
      <c r="N1729" s="167">
        <f t="shared" si="259"/>
        <v>1000000</v>
      </c>
      <c r="O1729" s="405"/>
      <c r="P1729" s="405"/>
    </row>
    <row r="1730" spans="1:20" ht="54.75" hidden="1" customHeight="1">
      <c r="A1730" s="273"/>
      <c r="B1730" s="481" t="str">
        <f t="shared" si="259"/>
        <v>M0144G0117N</v>
      </c>
      <c r="C1730" s="490" t="str">
        <f t="shared" si="259"/>
        <v>CONTRATO DE SERVIÇOS DE MANUTENÇÃO HIDRÁULICA</v>
      </c>
      <c r="D1730" s="483">
        <f t="shared" si="259"/>
        <v>8100</v>
      </c>
      <c r="E1730" s="484" t="str">
        <f t="shared" si="259"/>
        <v>108288</v>
      </c>
      <c r="F1730" s="526" t="str">
        <f t="shared" si="259"/>
        <v>PRECAMPUS</v>
      </c>
      <c r="G1730" s="488" t="str">
        <f t="shared" si="259"/>
        <v>Serviços Realizados</v>
      </c>
      <c r="H1730" s="489">
        <f t="shared" si="259"/>
        <v>1</v>
      </c>
      <c r="I1730" s="473">
        <f t="shared" si="259"/>
        <v>1100000</v>
      </c>
      <c r="J1730" s="473">
        <f t="shared" si="259"/>
        <v>0</v>
      </c>
      <c r="K1730" s="473">
        <f t="shared" si="259"/>
        <v>1100000</v>
      </c>
      <c r="L1730" s="167">
        <f t="shared" si="259"/>
        <v>1100000</v>
      </c>
      <c r="M1730" s="167">
        <f t="shared" si="259"/>
        <v>0</v>
      </c>
      <c r="N1730" s="167">
        <f t="shared" si="259"/>
        <v>1100000</v>
      </c>
      <c r="O1730" s="405"/>
      <c r="P1730" s="405"/>
    </row>
    <row r="1731" spans="1:20" ht="54.75" hidden="1" customHeight="1">
      <c r="A1731" s="273"/>
      <c r="B1731" s="481" t="str">
        <f t="shared" si="259"/>
        <v>M0145G0117N</v>
      </c>
      <c r="C1731" s="490" t="str">
        <f t="shared" si="259"/>
        <v>CONTRATO DE SERVIÇOS ESPECIALIZADOS EM PROJETOS EXECUTIVOS/COMPLEMENTARES</v>
      </c>
      <c r="D1731" s="483">
        <f t="shared" si="259"/>
        <v>8100</v>
      </c>
      <c r="E1731" s="484" t="str">
        <f t="shared" si="259"/>
        <v>108288</v>
      </c>
      <c r="F1731" s="526" t="str">
        <f t="shared" si="259"/>
        <v>PRECAMPUS</v>
      </c>
      <c r="G1731" s="488" t="str">
        <f t="shared" si="259"/>
        <v xml:space="preserve">Projetos Elaborados </v>
      </c>
      <c r="H1731" s="489">
        <f t="shared" si="259"/>
        <v>1</v>
      </c>
      <c r="I1731" s="473">
        <f t="shared" si="259"/>
        <v>250000</v>
      </c>
      <c r="J1731" s="473">
        <f t="shared" si="259"/>
        <v>0</v>
      </c>
      <c r="K1731" s="473">
        <f t="shared" si="259"/>
        <v>250000</v>
      </c>
      <c r="L1731" s="167">
        <f t="shared" si="259"/>
        <v>250000</v>
      </c>
      <c r="M1731" s="167">
        <f t="shared" si="259"/>
        <v>0</v>
      </c>
      <c r="N1731" s="167">
        <f t="shared" si="259"/>
        <v>250000</v>
      </c>
      <c r="O1731" s="405"/>
      <c r="P1731" s="405"/>
    </row>
    <row r="1732" spans="1:20" ht="56.25" hidden="1" customHeight="1">
      <c r="A1732" s="30"/>
      <c r="B1732" s="1297"/>
      <c r="C1732" s="1297"/>
      <c r="D1732" s="1297"/>
      <c r="E1732" s="1297"/>
      <c r="F1732" s="1297"/>
      <c r="G1732" s="1297"/>
      <c r="H1732" s="1297"/>
      <c r="I1732" s="1297"/>
      <c r="J1732" s="1297"/>
      <c r="K1732" s="1297"/>
      <c r="L1732" s="342"/>
      <c r="M1732" s="342"/>
      <c r="N1732" s="342"/>
    </row>
    <row r="1733" spans="1:20" ht="21.95" hidden="1" customHeight="1">
      <c r="A1733" s="107"/>
      <c r="B1733" s="107"/>
      <c r="C1733" s="608"/>
      <c r="D1733" s="608"/>
      <c r="E1733" s="608"/>
      <c r="F1733" s="608"/>
      <c r="G1733" s="23"/>
      <c r="H1733" s="23"/>
      <c r="I1733" s="23"/>
      <c r="J1733" s="23"/>
      <c r="K1733" s="23"/>
      <c r="L1733" s="608"/>
      <c r="M1733" s="608"/>
      <c r="N1733" s="608"/>
      <c r="O1733" s="27"/>
      <c r="P1733" s="27"/>
      <c r="Q1733" s="620"/>
      <c r="R1733" s="27"/>
      <c r="S1733" s="27"/>
      <c r="T1733" s="27"/>
    </row>
    <row r="1734" spans="1:20" ht="21.95" hidden="1" customHeight="1">
      <c r="A1734" s="107"/>
      <c r="B1734" s="107"/>
      <c r="C1734" s="608"/>
      <c r="D1734" s="608"/>
      <c r="E1734" s="608"/>
      <c r="F1734" s="608"/>
      <c r="G1734" s="23"/>
      <c r="H1734" s="23"/>
      <c r="I1734" s="23"/>
      <c r="J1734" s="23"/>
      <c r="K1734" s="23"/>
      <c r="L1734" s="608"/>
      <c r="M1734" s="608"/>
      <c r="N1734" s="608"/>
      <c r="O1734" s="27"/>
      <c r="P1734" s="27"/>
      <c r="Q1734" s="620"/>
      <c r="R1734" s="27"/>
      <c r="S1734" s="27"/>
      <c r="T1734" s="27"/>
    </row>
    <row r="1735" spans="1:20" ht="29.25" hidden="1" customHeight="1">
      <c r="A1735" s="27"/>
      <c r="B1735" s="27"/>
      <c r="C1735" s="1204" t="s">
        <v>51</v>
      </c>
      <c r="D1735" s="1204"/>
      <c r="E1735" s="1204"/>
      <c r="F1735" s="1204"/>
      <c r="O1735" s="27"/>
      <c r="P1735" s="27"/>
      <c r="Q1735" s="620"/>
      <c r="R1735" s="27"/>
      <c r="S1735" s="27"/>
      <c r="T1735" s="27"/>
    </row>
    <row r="1736" spans="1:20" ht="29.25" hidden="1" customHeight="1">
      <c r="A1736" s="27"/>
      <c r="B1736" s="27"/>
      <c r="C1736" s="1204" t="s">
        <v>52</v>
      </c>
      <c r="D1736" s="1204"/>
      <c r="E1736" s="1204"/>
      <c r="F1736" s="1204"/>
      <c r="O1736" s="27"/>
      <c r="P1736" s="27"/>
      <c r="Q1736" s="620"/>
      <c r="R1736" s="27"/>
      <c r="S1736" s="27"/>
      <c r="T1736" s="27"/>
    </row>
    <row r="1737" spans="1:20" ht="29.25" hidden="1" customHeight="1">
      <c r="A1737" s="27"/>
      <c r="B1737" s="27"/>
      <c r="C1737" s="1204" t="s">
        <v>50</v>
      </c>
      <c r="D1737" s="1204"/>
      <c r="E1737" s="1204"/>
      <c r="F1737" s="1204"/>
      <c r="O1737" s="27"/>
      <c r="P1737" s="27"/>
      <c r="Q1737" s="620"/>
      <c r="R1737" s="27"/>
      <c r="S1737" s="27"/>
      <c r="T1737" s="27"/>
    </row>
    <row r="1738" spans="1:20" ht="21.95" hidden="1" customHeight="1">
      <c r="A1738" s="27"/>
      <c r="B1738" s="27"/>
      <c r="F1738" s="27"/>
      <c r="O1738" s="27"/>
      <c r="P1738" s="27"/>
      <c r="Q1738" s="620"/>
      <c r="R1738" s="27"/>
      <c r="S1738" s="27"/>
      <c r="T1738" s="27"/>
    </row>
    <row r="1739" spans="1:20" ht="30" hidden="1" customHeight="1">
      <c r="A1739" s="27"/>
      <c r="B1739" s="27"/>
      <c r="F1739" s="27"/>
      <c r="O1739" s="27"/>
      <c r="P1739" s="27"/>
      <c r="Q1739" s="620"/>
      <c r="R1739" s="27"/>
      <c r="S1739" s="27"/>
      <c r="T1739" s="27"/>
    </row>
    <row r="1740" spans="1:20" ht="30" hidden="1" customHeight="1">
      <c r="A1740" s="349" t="s">
        <v>1060</v>
      </c>
      <c r="B1740" s="1226" t="s">
        <v>1061</v>
      </c>
      <c r="C1740" s="1226"/>
      <c r="D1740" s="1226"/>
      <c r="E1740" s="1226"/>
      <c r="F1740" s="1226"/>
      <c r="G1740" s="1226"/>
      <c r="H1740" s="1226"/>
      <c r="I1740" s="1226"/>
      <c r="J1740" s="1226"/>
      <c r="K1740" s="1226"/>
      <c r="L1740" s="349"/>
      <c r="M1740" s="349"/>
      <c r="N1740" s="349"/>
      <c r="O1740" s="27"/>
      <c r="P1740" s="27"/>
      <c r="Q1740" s="620"/>
      <c r="R1740" s="27"/>
      <c r="S1740" s="27"/>
      <c r="T1740" s="27"/>
    </row>
    <row r="1741" spans="1:20" ht="21.95" hidden="1" customHeight="1">
      <c r="A1741" s="46"/>
      <c r="B1741" s="46"/>
      <c r="C1741" s="46"/>
      <c r="D1741" s="46"/>
      <c r="E1741" s="46"/>
      <c r="F1741" s="46"/>
      <c r="G1741" s="46"/>
      <c r="H1741" s="46"/>
      <c r="I1741" s="46"/>
      <c r="J1741" s="46"/>
      <c r="K1741" s="46"/>
      <c r="L1741" s="46"/>
      <c r="M1741" s="46"/>
      <c r="N1741" s="46"/>
      <c r="O1741" s="27"/>
      <c r="P1741" s="27"/>
      <c r="Q1741" s="620"/>
      <c r="R1741" s="27"/>
      <c r="S1741" s="27"/>
      <c r="T1741" s="27"/>
    </row>
    <row r="1742" spans="1:20" ht="30" hidden="1" customHeight="1">
      <c r="A1742" s="27"/>
      <c r="B1742" s="27"/>
      <c r="F1742" s="27"/>
      <c r="O1742" s="27"/>
      <c r="P1742" s="27"/>
      <c r="Q1742" s="620"/>
      <c r="R1742" s="27"/>
      <c r="S1742" s="27"/>
      <c r="T1742" s="27"/>
    </row>
    <row r="1743" spans="1:20" ht="30" hidden="1" customHeight="1">
      <c r="A1743" s="355"/>
      <c r="B1743" s="605" t="s">
        <v>350</v>
      </c>
      <c r="C1743" s="355"/>
      <c r="D1743" s="355"/>
      <c r="E1743" s="355"/>
      <c r="F1743" s="355"/>
      <c r="G1743" s="355"/>
      <c r="H1743" s="355"/>
      <c r="I1743" s="355"/>
      <c r="J1743" s="355"/>
      <c r="K1743" s="355"/>
      <c r="L1743" s="355"/>
      <c r="M1743" s="355"/>
      <c r="N1743" s="355"/>
      <c r="O1743" s="27"/>
      <c r="P1743" s="27"/>
      <c r="Q1743" s="620"/>
      <c r="R1743" s="27"/>
      <c r="S1743" s="27"/>
      <c r="T1743" s="27"/>
    </row>
    <row r="1744" spans="1:20" s="500" customFormat="1" ht="90" hidden="1">
      <c r="A1744" s="496" t="s">
        <v>646</v>
      </c>
      <c r="B1744" s="497" t="s">
        <v>1062</v>
      </c>
      <c r="C1744" s="497" t="s">
        <v>37</v>
      </c>
      <c r="D1744" s="497" t="s">
        <v>440</v>
      </c>
      <c r="E1744" s="497" t="s">
        <v>16</v>
      </c>
      <c r="F1744" s="497" t="s">
        <v>185</v>
      </c>
      <c r="G1744" s="497" t="s">
        <v>178</v>
      </c>
      <c r="H1744" s="497" t="s">
        <v>179</v>
      </c>
      <c r="I1744" s="497" t="s">
        <v>180</v>
      </c>
      <c r="J1744" s="497" t="s">
        <v>181</v>
      </c>
      <c r="K1744" s="497" t="s">
        <v>200</v>
      </c>
      <c r="L1744" s="496" t="s">
        <v>180</v>
      </c>
      <c r="M1744" s="496" t="s">
        <v>181</v>
      </c>
      <c r="N1744" s="496" t="s">
        <v>200</v>
      </c>
      <c r="O1744" s="498"/>
      <c r="P1744" s="498"/>
      <c r="Q1744" s="622"/>
      <c r="R1744" s="498"/>
      <c r="S1744" s="498"/>
      <c r="T1744" s="499"/>
    </row>
    <row r="1745" spans="1:16" ht="54.75" hidden="1" customHeight="1">
      <c r="A1745" s="273"/>
      <c r="B1745" s="481" t="str">
        <f t="shared" ref="B1745:N1756" si="260">B424</f>
        <v>M0146G0117N</v>
      </c>
      <c r="C1745" s="490" t="str">
        <f t="shared" si="260"/>
        <v>CONTRATO DE SERVIÇOS DE MANUTENÇÃO PREDIAL</v>
      </c>
      <c r="D1745" s="483">
        <f t="shared" si="260"/>
        <v>8100</v>
      </c>
      <c r="E1745" s="484" t="str">
        <f t="shared" si="260"/>
        <v>108288</v>
      </c>
      <c r="F1745" s="526" t="str">
        <f t="shared" si="260"/>
        <v>PRECAMPUS</v>
      </c>
      <c r="G1745" s="488" t="str">
        <f t="shared" si="260"/>
        <v>Serviços Realizados</v>
      </c>
      <c r="H1745" s="489">
        <f t="shared" si="260"/>
        <v>1</v>
      </c>
      <c r="I1745" s="473">
        <f t="shared" si="260"/>
        <v>750000</v>
      </c>
      <c r="J1745" s="473">
        <f t="shared" si="260"/>
        <v>0</v>
      </c>
      <c r="K1745" s="473">
        <f t="shared" si="260"/>
        <v>750000</v>
      </c>
      <c r="L1745" s="167">
        <f t="shared" si="260"/>
        <v>750000</v>
      </c>
      <c r="M1745" s="167">
        <f t="shared" si="260"/>
        <v>0</v>
      </c>
      <c r="N1745" s="167">
        <f t="shared" si="260"/>
        <v>750000</v>
      </c>
      <c r="O1745" s="405"/>
      <c r="P1745" s="405"/>
    </row>
    <row r="1746" spans="1:16" ht="54.75" hidden="1" customHeight="1">
      <c r="A1746" s="273"/>
      <c r="B1746" s="481" t="str">
        <f t="shared" si="260"/>
        <v>M0148G0117N</v>
      </c>
      <c r="C1746" s="490" t="str">
        <f t="shared" si="260"/>
        <v>CONTRATO DE MONITORAMENTO E SISTEMAS DE ALARME</v>
      </c>
      <c r="D1746" s="483">
        <f t="shared" si="260"/>
        <v>8100</v>
      </c>
      <c r="E1746" s="484" t="str">
        <f t="shared" si="260"/>
        <v>108288</v>
      </c>
      <c r="F1746" s="526" t="str">
        <f t="shared" si="260"/>
        <v>PRECAMPUS</v>
      </c>
      <c r="G1746" s="488" t="str">
        <f t="shared" si="260"/>
        <v xml:space="preserve">Redução de Ocorrências </v>
      </c>
      <c r="H1746" s="489">
        <f t="shared" si="260"/>
        <v>0.2</v>
      </c>
      <c r="I1746" s="473">
        <f t="shared" si="260"/>
        <v>760000</v>
      </c>
      <c r="J1746" s="473">
        <f t="shared" si="260"/>
        <v>0</v>
      </c>
      <c r="K1746" s="473">
        <f t="shared" si="260"/>
        <v>760000</v>
      </c>
      <c r="L1746" s="167">
        <f t="shared" si="260"/>
        <v>760000</v>
      </c>
      <c r="M1746" s="167">
        <f t="shared" si="260"/>
        <v>0</v>
      </c>
      <c r="N1746" s="167">
        <f t="shared" si="260"/>
        <v>760000</v>
      </c>
      <c r="O1746" s="405"/>
      <c r="P1746" s="405"/>
    </row>
    <row r="1747" spans="1:16" ht="54.75" hidden="1" customHeight="1">
      <c r="A1747" s="273"/>
      <c r="B1747" s="481" t="str">
        <f t="shared" si="260"/>
        <v>M0149G0113N</v>
      </c>
      <c r="C1747" s="490" t="str">
        <f t="shared" si="260"/>
        <v>CONTRATO DE SERVIÇOS TERCEIRIZADOS DE PORTARIA</v>
      </c>
      <c r="D1747" s="483">
        <f t="shared" si="260"/>
        <v>8100</v>
      </c>
      <c r="E1747" s="484" t="str">
        <f t="shared" si="260"/>
        <v>108288</v>
      </c>
      <c r="F1747" s="526" t="str">
        <f t="shared" si="260"/>
        <v>PRECAMPUS</v>
      </c>
      <c r="G1747" s="488" t="str">
        <f t="shared" si="260"/>
        <v xml:space="preserve">Redução de Reclamações </v>
      </c>
      <c r="H1747" s="489">
        <f t="shared" si="260"/>
        <v>0.2</v>
      </c>
      <c r="I1747" s="473">
        <f t="shared" si="260"/>
        <v>1740000</v>
      </c>
      <c r="J1747" s="473">
        <f t="shared" si="260"/>
        <v>0</v>
      </c>
      <c r="K1747" s="473">
        <f t="shared" si="260"/>
        <v>1740000</v>
      </c>
      <c r="L1747" s="167">
        <f t="shared" si="260"/>
        <v>1740000</v>
      </c>
      <c r="M1747" s="167">
        <f t="shared" si="260"/>
        <v>0</v>
      </c>
      <c r="N1747" s="167">
        <f t="shared" si="260"/>
        <v>1740000</v>
      </c>
      <c r="O1747" s="405"/>
      <c r="P1747" s="405"/>
    </row>
    <row r="1748" spans="1:16" ht="54.75" hidden="1" customHeight="1">
      <c r="A1748" s="273"/>
      <c r="B1748" s="481" t="str">
        <f t="shared" si="260"/>
        <v>M0150G0117N</v>
      </c>
      <c r="C1748" s="490" t="str">
        <f t="shared" si="260"/>
        <v>PREFEITURA ACADÊMICA</v>
      </c>
      <c r="D1748" s="483">
        <f t="shared" si="260"/>
        <v>8100</v>
      </c>
      <c r="E1748" s="484" t="str">
        <f t="shared" si="260"/>
        <v>108288</v>
      </c>
      <c r="F1748" s="526" t="str">
        <f t="shared" si="260"/>
        <v>PRECAMPUS</v>
      </c>
      <c r="G1748" s="488" t="str">
        <f t="shared" si="260"/>
        <v>Atividades Realizadas</v>
      </c>
      <c r="H1748" s="489">
        <f t="shared" si="260"/>
        <v>1</v>
      </c>
      <c r="I1748" s="473">
        <f t="shared" si="260"/>
        <v>100000</v>
      </c>
      <c r="J1748" s="473">
        <f t="shared" si="260"/>
        <v>0</v>
      </c>
      <c r="K1748" s="473">
        <f t="shared" si="260"/>
        <v>100000</v>
      </c>
      <c r="L1748" s="167">
        <f t="shared" si="260"/>
        <v>100000</v>
      </c>
      <c r="M1748" s="167">
        <f t="shared" si="260"/>
        <v>0</v>
      </c>
      <c r="N1748" s="167">
        <f t="shared" si="260"/>
        <v>100000</v>
      </c>
      <c r="O1748" s="405"/>
      <c r="P1748" s="405"/>
    </row>
    <row r="1749" spans="1:16" ht="54.75" hidden="1" customHeight="1">
      <c r="A1749" s="273"/>
      <c r="B1749" s="481" t="str">
        <f t="shared" si="260"/>
        <v>M0152G0117N</v>
      </c>
      <c r="C1749" s="490" t="str">
        <f t="shared" si="260"/>
        <v>CONTRATO DE EMPRESA ESPECIALIZADA EM CONSULTORIA DE ENGENHARIA E  DE APOIO TÉCNICO A FISCALIZAÇÃO DE OBRAS</v>
      </c>
      <c r="D1749" s="483">
        <f t="shared" si="260"/>
        <v>8100</v>
      </c>
      <c r="E1749" s="484" t="str">
        <f t="shared" si="260"/>
        <v>108288</v>
      </c>
      <c r="F1749" s="526" t="str">
        <f t="shared" si="260"/>
        <v>PRECAMPUS</v>
      </c>
      <c r="G1749" s="488" t="str">
        <f t="shared" si="260"/>
        <v>Eficácia</v>
      </c>
      <c r="H1749" s="489">
        <f t="shared" si="260"/>
        <v>1</v>
      </c>
      <c r="I1749" s="473">
        <f t="shared" si="260"/>
        <v>5000</v>
      </c>
      <c r="J1749" s="473">
        <f t="shared" si="260"/>
        <v>0</v>
      </c>
      <c r="K1749" s="473">
        <f t="shared" si="260"/>
        <v>5000</v>
      </c>
      <c r="L1749" s="167">
        <f t="shared" si="260"/>
        <v>5000</v>
      </c>
      <c r="M1749" s="167">
        <f t="shared" si="260"/>
        <v>0</v>
      </c>
      <c r="N1749" s="167">
        <f t="shared" si="260"/>
        <v>5000</v>
      </c>
      <c r="O1749" s="405"/>
      <c r="P1749" s="405"/>
    </row>
    <row r="1750" spans="1:16" ht="54.75" hidden="1" customHeight="1">
      <c r="A1750" s="273"/>
      <c r="B1750" s="481" t="str">
        <f t="shared" si="260"/>
        <v>M0186G0113N</v>
      </c>
      <c r="C1750" s="490" t="str">
        <f t="shared" si="260"/>
        <v>CONTRATO DE GERENCIAMENTO DE FROTA</v>
      </c>
      <c r="D1750" s="483">
        <f t="shared" si="260"/>
        <v>8100</v>
      </c>
      <c r="E1750" s="484" t="str">
        <f t="shared" si="260"/>
        <v>108288</v>
      </c>
      <c r="F1750" s="526" t="str">
        <f t="shared" si="260"/>
        <v>PRECAMPUS</v>
      </c>
      <c r="G1750" s="488" t="str">
        <f t="shared" si="260"/>
        <v>Combustível Adquirido</v>
      </c>
      <c r="H1750" s="489" t="str">
        <f t="shared" si="260"/>
        <v>1.900 L</v>
      </c>
      <c r="I1750" s="473">
        <f t="shared" si="260"/>
        <v>1650000</v>
      </c>
      <c r="J1750" s="473">
        <f t="shared" si="260"/>
        <v>0</v>
      </c>
      <c r="K1750" s="473">
        <f t="shared" si="260"/>
        <v>1650000</v>
      </c>
      <c r="L1750" s="167">
        <f t="shared" si="260"/>
        <v>1650000</v>
      </c>
      <c r="M1750" s="167">
        <f t="shared" si="260"/>
        <v>0</v>
      </c>
      <c r="N1750" s="167">
        <f t="shared" si="260"/>
        <v>1650000</v>
      </c>
      <c r="O1750" s="405"/>
      <c r="P1750" s="405"/>
    </row>
    <row r="1751" spans="1:16" ht="54.75" hidden="1" customHeight="1">
      <c r="A1751" s="273"/>
      <c r="B1751" s="481" t="str">
        <f t="shared" si="260"/>
        <v>M011JG0113N</v>
      </c>
      <c r="C1751" s="490" t="str">
        <f t="shared" si="260"/>
        <v>CONTRATO DE SERVIÇOS DE LIMPEZA, ASSEIO E CONSERVAÇÃO DAS ÁREAS INTERNAS E EXTERNAS</v>
      </c>
      <c r="D1751" s="483">
        <f t="shared" si="260"/>
        <v>8100</v>
      </c>
      <c r="E1751" s="484" t="str">
        <f t="shared" si="260"/>
        <v>108288</v>
      </c>
      <c r="F1751" s="526" t="str">
        <f t="shared" si="260"/>
        <v>PRECAMPUS</v>
      </c>
      <c r="G1751" s="488" t="str">
        <f t="shared" si="260"/>
        <v xml:space="preserve">Redução de Reclamações </v>
      </c>
      <c r="H1751" s="489">
        <f t="shared" si="260"/>
        <v>0.2</v>
      </c>
      <c r="I1751" s="473">
        <f t="shared" si="260"/>
        <v>13000000</v>
      </c>
      <c r="J1751" s="473">
        <f t="shared" si="260"/>
        <v>0</v>
      </c>
      <c r="K1751" s="473">
        <f t="shared" si="260"/>
        <v>13000000</v>
      </c>
      <c r="L1751" s="167">
        <f t="shared" si="260"/>
        <v>13000000</v>
      </c>
      <c r="M1751" s="167">
        <f t="shared" si="260"/>
        <v>0</v>
      </c>
      <c r="N1751" s="167">
        <f t="shared" si="260"/>
        <v>13000000</v>
      </c>
      <c r="O1751" s="405"/>
      <c r="P1751" s="405"/>
    </row>
    <row r="1752" spans="1:16" ht="54.75" hidden="1" customHeight="1">
      <c r="A1752" s="273"/>
      <c r="B1752" s="481" t="str">
        <f t="shared" si="260"/>
        <v>M011QG0117N</v>
      </c>
      <c r="C1752" s="490" t="str">
        <f t="shared" si="260"/>
        <v xml:space="preserve">DESPESAS COM ENERGIA ELÉTRICA DA UFPA </v>
      </c>
      <c r="D1752" s="483">
        <f t="shared" si="260"/>
        <v>8100</v>
      </c>
      <c r="E1752" s="484" t="str">
        <f t="shared" si="260"/>
        <v>108288</v>
      </c>
      <c r="F1752" s="526" t="str">
        <f t="shared" si="260"/>
        <v>PRECAMPUS</v>
      </c>
      <c r="G1752" s="488" t="str">
        <f t="shared" si="260"/>
        <v>Atendimento Realizado</v>
      </c>
      <c r="H1752" s="489">
        <f t="shared" si="260"/>
        <v>1</v>
      </c>
      <c r="I1752" s="473">
        <f t="shared" si="260"/>
        <v>13053361</v>
      </c>
      <c r="J1752" s="473">
        <f t="shared" si="260"/>
        <v>0</v>
      </c>
      <c r="K1752" s="473">
        <f t="shared" si="260"/>
        <v>13053361</v>
      </c>
      <c r="L1752" s="167"/>
      <c r="M1752" s="167"/>
      <c r="N1752" s="167"/>
      <c r="O1752" s="405"/>
      <c r="P1752" s="405"/>
    </row>
    <row r="1753" spans="1:16" ht="54.75" hidden="1" customHeight="1">
      <c r="A1753" s="273"/>
      <c r="B1753" s="481" t="str">
        <f t="shared" si="260"/>
        <v>M012BG0117N</v>
      </c>
      <c r="C1753" s="490" t="str">
        <f t="shared" si="260"/>
        <v>MANUTENÇÃO E RECARGA DOS EXTINTORES DA UFPA</v>
      </c>
      <c r="D1753" s="483">
        <f t="shared" si="260"/>
        <v>8100</v>
      </c>
      <c r="E1753" s="484" t="str">
        <f t="shared" si="260"/>
        <v>108288</v>
      </c>
      <c r="F1753" s="526" t="str">
        <f t="shared" si="260"/>
        <v>PRECAMPUS</v>
      </c>
      <c r="G1753" s="488" t="str">
        <f t="shared" si="260"/>
        <v>Serviços Realizados</v>
      </c>
      <c r="H1753" s="489">
        <f t="shared" si="260"/>
        <v>1</v>
      </c>
      <c r="I1753" s="473">
        <f t="shared" si="260"/>
        <v>32000</v>
      </c>
      <c r="J1753" s="473">
        <f t="shared" si="260"/>
        <v>0</v>
      </c>
      <c r="K1753" s="473">
        <f t="shared" si="260"/>
        <v>32000</v>
      </c>
      <c r="L1753" s="167">
        <f t="shared" si="260"/>
        <v>32000</v>
      </c>
      <c r="M1753" s="167">
        <f t="shared" si="260"/>
        <v>0</v>
      </c>
      <c r="N1753" s="167">
        <f t="shared" si="260"/>
        <v>32000</v>
      </c>
      <c r="O1753" s="405"/>
      <c r="P1753" s="405"/>
    </row>
    <row r="1754" spans="1:16" ht="54.75" hidden="1" customHeight="1">
      <c r="A1754" s="273"/>
      <c r="B1754" s="481" t="str">
        <f t="shared" si="260"/>
        <v>M016BG0117N</v>
      </c>
      <c r="C1754" s="490" t="str">
        <f t="shared" si="260"/>
        <v>FISCALIZAÇÃO E VISITAS TÉCNICAS EM OBRAS</v>
      </c>
      <c r="D1754" s="483">
        <f t="shared" si="260"/>
        <v>8100</v>
      </c>
      <c r="E1754" s="484" t="str">
        <f t="shared" si="260"/>
        <v>108288</v>
      </c>
      <c r="F1754" s="526" t="str">
        <f t="shared" si="260"/>
        <v>PRECAMPUS</v>
      </c>
      <c r="G1754" s="488" t="str">
        <f t="shared" si="260"/>
        <v>Ação Monotirada</v>
      </c>
      <c r="H1754" s="489">
        <f t="shared" si="260"/>
        <v>1</v>
      </c>
      <c r="I1754" s="473">
        <f t="shared" si="260"/>
        <v>190000</v>
      </c>
      <c r="J1754" s="473">
        <f t="shared" si="260"/>
        <v>0</v>
      </c>
      <c r="K1754" s="473">
        <f t="shared" si="260"/>
        <v>190000</v>
      </c>
      <c r="L1754" s="167">
        <f t="shared" si="260"/>
        <v>190000</v>
      </c>
      <c r="M1754" s="167">
        <f t="shared" si="260"/>
        <v>0</v>
      </c>
      <c r="N1754" s="167">
        <f t="shared" si="260"/>
        <v>190000</v>
      </c>
      <c r="O1754" s="405"/>
      <c r="P1754" s="405"/>
    </row>
    <row r="1755" spans="1:16" ht="54.75" hidden="1" customHeight="1">
      <c r="A1755" s="273"/>
      <c r="B1755" s="481" t="str">
        <f t="shared" si="260"/>
        <v>M017BG0113N</v>
      </c>
      <c r="C1755" s="490" t="str">
        <f t="shared" si="260"/>
        <v>LICENCIAMENTO DE VEÍCULOS - DETRAN</v>
      </c>
      <c r="D1755" s="483">
        <f t="shared" si="260"/>
        <v>8100</v>
      </c>
      <c r="E1755" s="484" t="str">
        <f t="shared" si="260"/>
        <v>108288</v>
      </c>
      <c r="F1755" s="526" t="str">
        <f t="shared" si="260"/>
        <v>PRECAMPUS</v>
      </c>
      <c r="G1755" s="488" t="str">
        <f t="shared" si="260"/>
        <v>Atendimento Realizado</v>
      </c>
      <c r="H1755" s="489">
        <f t="shared" si="260"/>
        <v>1</v>
      </c>
      <c r="I1755" s="473">
        <f t="shared" si="260"/>
        <v>39997</v>
      </c>
      <c r="J1755" s="473">
        <f t="shared" si="260"/>
        <v>0</v>
      </c>
      <c r="K1755" s="473">
        <f t="shared" si="260"/>
        <v>39997</v>
      </c>
      <c r="L1755" s="167">
        <f t="shared" si="260"/>
        <v>39997</v>
      </c>
      <c r="M1755" s="167">
        <f t="shared" si="260"/>
        <v>0</v>
      </c>
      <c r="N1755" s="167">
        <f t="shared" si="260"/>
        <v>39997</v>
      </c>
      <c r="O1755" s="405"/>
      <c r="P1755" s="405"/>
    </row>
    <row r="1756" spans="1:16" ht="54.75" hidden="1" customHeight="1">
      <c r="A1756" s="273"/>
      <c r="B1756" s="481" t="str">
        <f t="shared" si="260"/>
        <v>M019HG0114N</v>
      </c>
      <c r="C1756" s="490" t="str">
        <f t="shared" si="260"/>
        <v>PLANO DE LOGÍSTICA SUSTENTÁVEL</v>
      </c>
      <c r="D1756" s="483">
        <f t="shared" si="260"/>
        <v>8100</v>
      </c>
      <c r="E1756" s="484" t="str">
        <f t="shared" si="260"/>
        <v>108288</v>
      </c>
      <c r="F1756" s="526" t="str">
        <f t="shared" si="260"/>
        <v>PRECAMPUS</v>
      </c>
      <c r="G1756" s="488" t="str">
        <f t="shared" si="260"/>
        <v>Eficácia</v>
      </c>
      <c r="H1756" s="489">
        <f t="shared" si="260"/>
        <v>1</v>
      </c>
      <c r="I1756" s="473">
        <f t="shared" si="260"/>
        <v>12000</v>
      </c>
      <c r="J1756" s="473">
        <f t="shared" si="260"/>
        <v>0</v>
      </c>
      <c r="K1756" s="473">
        <f t="shared" si="260"/>
        <v>12000</v>
      </c>
      <c r="L1756" s="167">
        <f t="shared" ref="L1756:N1758" si="261">L470</f>
        <v>0</v>
      </c>
      <c r="M1756" s="167">
        <f t="shared" si="261"/>
        <v>0</v>
      </c>
      <c r="N1756" s="167">
        <f t="shared" si="261"/>
        <v>0</v>
      </c>
      <c r="O1756" s="405"/>
      <c r="P1756" s="405"/>
    </row>
    <row r="1757" spans="1:16" ht="54.75" hidden="1" customHeight="1">
      <c r="A1757" s="273"/>
      <c r="B1757" s="481" t="str">
        <f t="shared" ref="B1757:K1760" si="262">B473</f>
        <v>M0112G0116N</v>
      </c>
      <c r="C1757" s="490" t="str">
        <f t="shared" si="262"/>
        <v>GESTÃO DA FORÇA DE TRABALHO</v>
      </c>
      <c r="D1757" s="483">
        <f t="shared" si="262"/>
        <v>8100</v>
      </c>
      <c r="E1757" s="484">
        <f t="shared" si="262"/>
        <v>108288</v>
      </c>
      <c r="F1757" s="526" t="str">
        <f t="shared" si="262"/>
        <v>PROGEP</v>
      </c>
      <c r="G1757" s="488" t="str">
        <f t="shared" si="262"/>
        <v>Unidades Atendidas</v>
      </c>
      <c r="H1757" s="489">
        <f t="shared" si="262"/>
        <v>0.3</v>
      </c>
      <c r="I1757" s="473">
        <f t="shared" si="262"/>
        <v>76726</v>
      </c>
      <c r="J1757" s="473">
        <f t="shared" si="262"/>
        <v>0</v>
      </c>
      <c r="K1757" s="473">
        <f t="shared" si="262"/>
        <v>76726</v>
      </c>
      <c r="L1757" s="167">
        <f t="shared" si="261"/>
        <v>0</v>
      </c>
      <c r="M1757" s="167">
        <f t="shared" si="261"/>
        <v>0</v>
      </c>
      <c r="N1757" s="167">
        <f t="shared" si="261"/>
        <v>0</v>
      </c>
      <c r="O1757" s="405"/>
      <c r="P1757" s="405"/>
    </row>
    <row r="1758" spans="1:16" ht="54.75" hidden="1" customHeight="1">
      <c r="A1758" s="273"/>
      <c r="B1758" s="481" t="str">
        <f t="shared" si="262"/>
        <v>M0132G0115N</v>
      </c>
      <c r="C1758" s="490" t="str">
        <f t="shared" si="262"/>
        <v>DIAGNÓSTICO DA SAÚDE E QUALIDADE DE VIDA</v>
      </c>
      <c r="D1758" s="483">
        <f t="shared" si="262"/>
        <v>8100</v>
      </c>
      <c r="E1758" s="484">
        <f t="shared" si="262"/>
        <v>108288</v>
      </c>
      <c r="F1758" s="526" t="str">
        <f t="shared" si="262"/>
        <v>PROGEP</v>
      </c>
      <c r="G1758" s="488" t="str">
        <f t="shared" si="262"/>
        <v xml:space="preserve">Servidor Atendido </v>
      </c>
      <c r="H1758" s="489">
        <f t="shared" si="262"/>
        <v>0.3</v>
      </c>
      <c r="I1758" s="473">
        <f t="shared" si="262"/>
        <v>90000</v>
      </c>
      <c r="J1758" s="473">
        <f t="shared" si="262"/>
        <v>0</v>
      </c>
      <c r="K1758" s="473">
        <f t="shared" si="262"/>
        <v>90000</v>
      </c>
      <c r="L1758" s="167">
        <f t="shared" si="261"/>
        <v>0</v>
      </c>
      <c r="M1758" s="167">
        <f t="shared" si="261"/>
        <v>0</v>
      </c>
      <c r="N1758" s="167">
        <f t="shared" si="261"/>
        <v>0</v>
      </c>
      <c r="O1758" s="405"/>
      <c r="P1758" s="405"/>
    </row>
    <row r="1759" spans="1:16" ht="54.75" hidden="1" customHeight="1">
      <c r="A1759" s="273"/>
      <c r="B1759" s="481" t="str">
        <f t="shared" si="262"/>
        <v>M0133G0116N</v>
      </c>
      <c r="C1759" s="490" t="str">
        <f t="shared" si="262"/>
        <v>MODERNIZAÇÃO DOS PROCESSOS DE GESTAO DE PESSOAL</v>
      </c>
      <c r="D1759" s="483">
        <f t="shared" si="262"/>
        <v>8100</v>
      </c>
      <c r="E1759" s="484">
        <f t="shared" si="262"/>
        <v>108288</v>
      </c>
      <c r="F1759" s="526" t="str">
        <f t="shared" si="262"/>
        <v>PROGEP</v>
      </c>
      <c r="G1759" s="488" t="str">
        <f t="shared" si="262"/>
        <v>Processos Modernizados</v>
      </c>
      <c r="H1759" s="489">
        <f t="shared" si="262"/>
        <v>0.3</v>
      </c>
      <c r="I1759" s="473">
        <f t="shared" si="262"/>
        <v>80000</v>
      </c>
      <c r="J1759" s="473">
        <f t="shared" si="262"/>
        <v>0</v>
      </c>
      <c r="K1759" s="473">
        <f t="shared" si="262"/>
        <v>80000</v>
      </c>
      <c r="L1759" s="167" t="e">
        <f>#REF!</f>
        <v>#REF!</v>
      </c>
      <c r="M1759" s="167" t="e">
        <f>#REF!</f>
        <v>#REF!</v>
      </c>
      <c r="N1759" s="167" t="e">
        <f>#REF!</f>
        <v>#REF!</v>
      </c>
      <c r="O1759" s="405"/>
      <c r="P1759" s="405"/>
    </row>
    <row r="1760" spans="1:16" ht="54.75" hidden="1" customHeight="1">
      <c r="A1760" s="273"/>
      <c r="B1760" s="481" t="str">
        <f t="shared" si="262"/>
        <v>M011IG0117N</v>
      </c>
      <c r="C1760" s="490" t="str">
        <f t="shared" si="262"/>
        <v>MANUTENÇÃO DA PROGEP</v>
      </c>
      <c r="D1760" s="483">
        <f t="shared" si="262"/>
        <v>8100</v>
      </c>
      <c r="E1760" s="484">
        <f t="shared" si="262"/>
        <v>108288</v>
      </c>
      <c r="F1760" s="526" t="str">
        <f t="shared" si="262"/>
        <v>PROGEP</v>
      </c>
      <c r="G1760" s="488" t="str">
        <f t="shared" si="262"/>
        <v>Demandas Atendidas</v>
      </c>
      <c r="H1760" s="489">
        <f t="shared" si="262"/>
        <v>0.6</v>
      </c>
      <c r="I1760" s="473">
        <f t="shared" si="262"/>
        <v>149474</v>
      </c>
      <c r="J1760" s="473">
        <f t="shared" si="262"/>
        <v>0</v>
      </c>
      <c r="K1760" s="473">
        <f t="shared" si="262"/>
        <v>149474</v>
      </c>
      <c r="L1760" s="167">
        <f>L476</f>
        <v>149474</v>
      </c>
      <c r="M1760" s="167">
        <f>M476</f>
        <v>0</v>
      </c>
      <c r="N1760" s="167">
        <f>N476</f>
        <v>149474</v>
      </c>
      <c r="O1760" s="405"/>
      <c r="P1760" s="405"/>
    </row>
    <row r="1761" spans="1:20" ht="54.75" hidden="1" customHeight="1">
      <c r="A1761" s="273"/>
      <c r="B1761" s="481" t="str">
        <f t="shared" ref="B1761:N1768" si="263">B544</f>
        <v>M0108G0113N</v>
      </c>
      <c r="C1761" s="490" t="str">
        <f t="shared" si="263"/>
        <v>MELHORIA DE PROCESSOS INTERNOS</v>
      </c>
      <c r="D1761" s="483">
        <f t="shared" si="263"/>
        <v>8100</v>
      </c>
      <c r="E1761" s="484">
        <f t="shared" si="263"/>
        <v>108288</v>
      </c>
      <c r="F1761" s="526" t="str">
        <f t="shared" si="263"/>
        <v>DIGEST</v>
      </c>
      <c r="G1761" s="488" t="str">
        <f t="shared" si="263"/>
        <v>Eficácia</v>
      </c>
      <c r="H1761" s="489">
        <f t="shared" si="263"/>
        <v>1</v>
      </c>
      <c r="I1761" s="473">
        <f t="shared" si="263"/>
        <v>6000</v>
      </c>
      <c r="J1761" s="473">
        <f t="shared" si="263"/>
        <v>0</v>
      </c>
      <c r="K1761" s="473">
        <f t="shared" si="263"/>
        <v>6000</v>
      </c>
      <c r="L1761" s="167"/>
      <c r="M1761" s="167"/>
      <c r="N1761" s="167"/>
      <c r="O1761" s="405"/>
      <c r="P1761" s="405"/>
    </row>
    <row r="1762" spans="1:20" ht="54.75" hidden="1" customHeight="1">
      <c r="A1762" s="273"/>
      <c r="B1762" s="481" t="str">
        <f t="shared" si="263"/>
        <v>M0111G0113N</v>
      </c>
      <c r="C1762" s="490" t="str">
        <f t="shared" si="263"/>
        <v>AÇÕES ESTRATÉGICAS DA PROPLAN</v>
      </c>
      <c r="D1762" s="483">
        <f t="shared" si="263"/>
        <v>8100</v>
      </c>
      <c r="E1762" s="484">
        <f t="shared" si="263"/>
        <v>108288</v>
      </c>
      <c r="F1762" s="526" t="str">
        <f t="shared" si="263"/>
        <v>DIPLAN</v>
      </c>
      <c r="G1762" s="488" t="str">
        <f t="shared" si="263"/>
        <v>Eficácia</v>
      </c>
      <c r="H1762" s="489">
        <f t="shared" si="263"/>
        <v>1</v>
      </c>
      <c r="I1762" s="473">
        <f t="shared" si="263"/>
        <v>80000</v>
      </c>
      <c r="J1762" s="473">
        <f t="shared" si="263"/>
        <v>0</v>
      </c>
      <c r="K1762" s="473">
        <f t="shared" si="263"/>
        <v>80000</v>
      </c>
      <c r="L1762" s="167"/>
      <c r="M1762" s="167"/>
      <c r="N1762" s="167"/>
      <c r="O1762" s="405"/>
      <c r="P1762" s="405"/>
    </row>
    <row r="1763" spans="1:20" ht="54.75" hidden="1" customHeight="1">
      <c r="A1763" s="273"/>
      <c r="B1763" s="481" t="str">
        <f t="shared" si="263"/>
        <v>M0155G0120N</v>
      </c>
      <c r="C1763" s="490" t="str">
        <f t="shared" si="263"/>
        <v>AMPLIAÇÃO DA CAPTAÇÃO DE RECURSOS</v>
      </c>
      <c r="D1763" s="483">
        <f t="shared" si="263"/>
        <v>8100</v>
      </c>
      <c r="E1763" s="484">
        <f t="shared" si="263"/>
        <v>108288</v>
      </c>
      <c r="F1763" s="526" t="str">
        <f t="shared" si="263"/>
        <v>DIGEST</v>
      </c>
      <c r="G1763" s="488" t="str">
        <f t="shared" si="263"/>
        <v>Eficácia</v>
      </c>
      <c r="H1763" s="489">
        <f t="shared" si="263"/>
        <v>1</v>
      </c>
      <c r="I1763" s="473">
        <f t="shared" si="263"/>
        <v>7000</v>
      </c>
      <c r="J1763" s="473">
        <f t="shared" si="263"/>
        <v>0</v>
      </c>
      <c r="K1763" s="473">
        <f t="shared" si="263"/>
        <v>7000</v>
      </c>
      <c r="L1763" s="167"/>
      <c r="M1763" s="167"/>
      <c r="N1763" s="167"/>
      <c r="O1763" s="405"/>
      <c r="P1763" s="405"/>
    </row>
    <row r="1764" spans="1:20" ht="54.75" hidden="1" customHeight="1">
      <c r="A1764" s="273"/>
      <c r="B1764" s="481" t="str">
        <f t="shared" si="263"/>
        <v>M013CG0104N</v>
      </c>
      <c r="C1764" s="490" t="str">
        <f t="shared" si="263"/>
        <v>GESTÃO DA AUTO-AVALIAÇÃO DA UFPA</v>
      </c>
      <c r="D1764" s="483">
        <f t="shared" si="263"/>
        <v>8100</v>
      </c>
      <c r="E1764" s="484">
        <f t="shared" si="263"/>
        <v>108288</v>
      </c>
      <c r="F1764" s="526" t="str">
        <f t="shared" si="263"/>
        <v>DIAVI</v>
      </c>
      <c r="G1764" s="488" t="str">
        <f t="shared" si="263"/>
        <v>Relatório</v>
      </c>
      <c r="H1764" s="489">
        <f t="shared" si="263"/>
        <v>1</v>
      </c>
      <c r="I1764" s="473">
        <f t="shared" si="263"/>
        <v>28425</v>
      </c>
      <c r="J1764" s="473">
        <f t="shared" si="263"/>
        <v>0</v>
      </c>
      <c r="K1764" s="473">
        <f t="shared" si="263"/>
        <v>28425</v>
      </c>
      <c r="L1764" s="167">
        <f t="shared" si="263"/>
        <v>28425</v>
      </c>
      <c r="M1764" s="167">
        <f t="shared" si="263"/>
        <v>0</v>
      </c>
      <c r="N1764" s="167">
        <f t="shared" si="263"/>
        <v>28425</v>
      </c>
      <c r="O1764" s="405"/>
      <c r="P1764" s="405"/>
    </row>
    <row r="1765" spans="1:20" ht="54.75" hidden="1" customHeight="1">
      <c r="A1765" s="273"/>
      <c r="B1765" s="481" t="str">
        <f t="shared" si="263"/>
        <v>M014CG0111N</v>
      </c>
      <c r="C1765" s="490" t="str">
        <f t="shared" si="263"/>
        <v>GESTÃO DO PLANO DE DESENVOLVIMENTO DA UFPA - 2016-2025</v>
      </c>
      <c r="D1765" s="483">
        <f t="shared" si="263"/>
        <v>8100</v>
      </c>
      <c r="E1765" s="484">
        <f t="shared" si="263"/>
        <v>108288</v>
      </c>
      <c r="F1765" s="526" t="str">
        <f t="shared" si="263"/>
        <v>DIPLAN</v>
      </c>
      <c r="G1765" s="488" t="str">
        <f t="shared" si="263"/>
        <v>Eficácia</v>
      </c>
      <c r="H1765" s="489">
        <f t="shared" si="263"/>
        <v>1</v>
      </c>
      <c r="I1765" s="473">
        <f t="shared" si="263"/>
        <v>20109</v>
      </c>
      <c r="J1765" s="473">
        <f t="shared" si="263"/>
        <v>0</v>
      </c>
      <c r="K1765" s="473">
        <f t="shared" si="263"/>
        <v>20109</v>
      </c>
      <c r="L1765" s="167">
        <f t="shared" si="263"/>
        <v>20109</v>
      </c>
      <c r="M1765" s="167">
        <f t="shared" si="263"/>
        <v>0</v>
      </c>
      <c r="N1765" s="167">
        <f t="shared" si="263"/>
        <v>20109</v>
      </c>
      <c r="O1765" s="405"/>
      <c r="P1765" s="405"/>
    </row>
    <row r="1766" spans="1:20" ht="54.75" hidden="1" customHeight="1">
      <c r="A1766" s="273"/>
      <c r="B1766" s="481" t="str">
        <f t="shared" si="263"/>
        <v>M015CG0113N</v>
      </c>
      <c r="C1766" s="490" t="str">
        <f t="shared" si="263"/>
        <v>GESTÃO DA INFORMAÇÃO DA UFPA</v>
      </c>
      <c r="D1766" s="483">
        <f t="shared" si="263"/>
        <v>8100</v>
      </c>
      <c r="E1766" s="484">
        <f t="shared" si="263"/>
        <v>108288</v>
      </c>
      <c r="F1766" s="526" t="str">
        <f t="shared" si="263"/>
        <v>DINFI</v>
      </c>
      <c r="G1766" s="488" t="str">
        <f t="shared" si="263"/>
        <v>Eficácia</v>
      </c>
      <c r="H1766" s="489">
        <f t="shared" si="263"/>
        <v>1</v>
      </c>
      <c r="I1766" s="473">
        <f t="shared" si="263"/>
        <v>61051</v>
      </c>
      <c r="J1766" s="473">
        <f t="shared" si="263"/>
        <v>0</v>
      </c>
      <c r="K1766" s="473">
        <f t="shared" si="263"/>
        <v>61051</v>
      </c>
      <c r="L1766" s="167">
        <f t="shared" si="263"/>
        <v>61051</v>
      </c>
      <c r="M1766" s="167">
        <f t="shared" si="263"/>
        <v>0</v>
      </c>
      <c r="N1766" s="167">
        <f t="shared" si="263"/>
        <v>61051</v>
      </c>
      <c r="O1766" s="405"/>
      <c r="P1766" s="405"/>
    </row>
    <row r="1767" spans="1:20" ht="54.75" hidden="1" customHeight="1">
      <c r="A1767" s="273"/>
      <c r="B1767" s="481" t="str">
        <f t="shared" si="263"/>
        <v>M016CG0119N</v>
      </c>
      <c r="C1767" s="490" t="str">
        <f t="shared" si="263"/>
        <v>GESTÃO DO ORÇAMENTO DA UFPA</v>
      </c>
      <c r="D1767" s="483">
        <f t="shared" si="263"/>
        <v>8100</v>
      </c>
      <c r="E1767" s="484">
        <f t="shared" si="263"/>
        <v>108288</v>
      </c>
      <c r="F1767" s="526" t="str">
        <f t="shared" si="263"/>
        <v>DIPLAN</v>
      </c>
      <c r="G1767" s="488" t="str">
        <f t="shared" si="263"/>
        <v>Atividades Realizadas</v>
      </c>
      <c r="H1767" s="489">
        <f t="shared" si="263"/>
        <v>3</v>
      </c>
      <c r="I1767" s="473">
        <f t="shared" si="263"/>
        <v>14183</v>
      </c>
      <c r="J1767" s="473">
        <f t="shared" si="263"/>
        <v>0</v>
      </c>
      <c r="K1767" s="473">
        <f t="shared" si="263"/>
        <v>14183</v>
      </c>
      <c r="L1767" s="167">
        <f t="shared" si="263"/>
        <v>14183</v>
      </c>
      <c r="M1767" s="167">
        <f t="shared" si="263"/>
        <v>0</v>
      </c>
      <c r="N1767" s="167">
        <f t="shared" si="263"/>
        <v>14183</v>
      </c>
      <c r="O1767" s="405"/>
      <c r="P1767" s="405"/>
    </row>
    <row r="1768" spans="1:20" ht="54.75" hidden="1" customHeight="1">
      <c r="A1768" s="273"/>
      <c r="B1768" s="481" t="str">
        <f t="shared" si="263"/>
        <v>M019CG0116N</v>
      </c>
      <c r="C1768" s="490" t="str">
        <f t="shared" si="263"/>
        <v>GESTÃO DO PLANEJAMENTO ACADÊMICO DA UFPA</v>
      </c>
      <c r="D1768" s="483">
        <f t="shared" si="263"/>
        <v>8100</v>
      </c>
      <c r="E1768" s="484">
        <f t="shared" si="263"/>
        <v>108288</v>
      </c>
      <c r="F1768" s="526" t="str">
        <f t="shared" si="263"/>
        <v>DIPLAN</v>
      </c>
      <c r="G1768" s="488" t="str">
        <f t="shared" si="263"/>
        <v>Eficácia</v>
      </c>
      <c r="H1768" s="489">
        <f t="shared" si="263"/>
        <v>1</v>
      </c>
      <c r="I1768" s="473">
        <f t="shared" si="263"/>
        <v>13275</v>
      </c>
      <c r="J1768" s="473">
        <f t="shared" si="263"/>
        <v>0</v>
      </c>
      <c r="K1768" s="473">
        <f t="shared" si="263"/>
        <v>13275</v>
      </c>
      <c r="L1768" s="167">
        <f t="shared" si="263"/>
        <v>13275</v>
      </c>
      <c r="M1768" s="167">
        <f t="shared" si="263"/>
        <v>0</v>
      </c>
      <c r="N1768" s="167">
        <f t="shared" si="263"/>
        <v>13275</v>
      </c>
      <c r="O1768" s="405"/>
      <c r="P1768" s="405"/>
    </row>
    <row r="1769" spans="1:20" ht="54.75" hidden="1" customHeight="1">
      <c r="A1769" s="273"/>
      <c r="B1769" s="481" t="str">
        <f t="shared" ref="B1769:N1771" si="264">B576</f>
        <v>O017CO1915N</v>
      </c>
      <c r="C1769" s="490" t="str">
        <f t="shared" si="264"/>
        <v>PADT</v>
      </c>
      <c r="D1769" s="483">
        <f t="shared" si="264"/>
        <v>8100</v>
      </c>
      <c r="E1769" s="484">
        <f t="shared" si="264"/>
        <v>108288</v>
      </c>
      <c r="F1769" s="526" t="str">
        <f t="shared" si="264"/>
        <v>PROPESP</v>
      </c>
      <c r="G1769" s="488" t="str">
        <f t="shared" si="264"/>
        <v>Servidor Capacitado</v>
      </c>
      <c r="H1769" s="489">
        <f t="shared" si="264"/>
        <v>90</v>
      </c>
      <c r="I1769" s="473">
        <f t="shared" si="264"/>
        <v>500000</v>
      </c>
      <c r="J1769" s="473">
        <f t="shared" si="264"/>
        <v>0</v>
      </c>
      <c r="K1769" s="473">
        <f t="shared" si="264"/>
        <v>500000</v>
      </c>
      <c r="L1769" s="167">
        <f t="shared" si="264"/>
        <v>500000</v>
      </c>
      <c r="M1769" s="167">
        <f t="shared" si="264"/>
        <v>0</v>
      </c>
      <c r="N1769" s="167">
        <f t="shared" si="264"/>
        <v>500000</v>
      </c>
      <c r="O1769" s="405"/>
      <c r="P1769" s="405"/>
    </row>
    <row r="1770" spans="1:20" ht="54.75" hidden="1" customHeight="1">
      <c r="A1770" s="273"/>
      <c r="B1770" s="481" t="str">
        <f t="shared" si="264"/>
        <v>O0193O2003N</v>
      </c>
      <c r="C1770" s="490" t="str">
        <f t="shared" si="264"/>
        <v>PAEV</v>
      </c>
      <c r="D1770" s="483">
        <f t="shared" si="264"/>
        <v>8100</v>
      </c>
      <c r="E1770" s="484">
        <f t="shared" si="264"/>
        <v>108288</v>
      </c>
      <c r="F1770" s="526" t="str">
        <f t="shared" si="264"/>
        <v>PROPESP</v>
      </c>
      <c r="G1770" s="488" t="str">
        <f t="shared" si="264"/>
        <v>Eventos Promovidos/Realizados</v>
      </c>
      <c r="H1770" s="489">
        <f t="shared" si="264"/>
        <v>15</v>
      </c>
      <c r="I1770" s="473">
        <f t="shared" si="264"/>
        <v>280000</v>
      </c>
      <c r="J1770" s="473">
        <f t="shared" si="264"/>
        <v>0</v>
      </c>
      <c r="K1770" s="473">
        <f t="shared" si="264"/>
        <v>280000</v>
      </c>
      <c r="L1770" s="167">
        <f t="shared" si="264"/>
        <v>280000</v>
      </c>
      <c r="M1770" s="167">
        <f t="shared" si="264"/>
        <v>0</v>
      </c>
      <c r="N1770" s="167">
        <f t="shared" si="264"/>
        <v>280000</v>
      </c>
      <c r="O1770" s="405"/>
      <c r="P1770" s="405"/>
    </row>
    <row r="1771" spans="1:20" ht="54.75" hidden="1" customHeight="1">
      <c r="A1771" s="273"/>
      <c r="B1771" s="481" t="str">
        <f t="shared" si="264"/>
        <v>O0196O2008N</v>
      </c>
      <c r="C1771" s="490" t="str">
        <f t="shared" si="264"/>
        <v>PACI</v>
      </c>
      <c r="D1771" s="483">
        <f t="shared" si="264"/>
        <v>8100</v>
      </c>
      <c r="E1771" s="484">
        <f t="shared" si="264"/>
        <v>108288</v>
      </c>
      <c r="F1771" s="526" t="str">
        <f t="shared" si="264"/>
        <v>PROPESP</v>
      </c>
      <c r="G1771" s="488" t="str">
        <f t="shared" si="264"/>
        <v>Unidades Atendidas</v>
      </c>
      <c r="H1771" s="489">
        <f t="shared" si="264"/>
        <v>25</v>
      </c>
      <c r="I1771" s="473">
        <f t="shared" si="264"/>
        <v>400000</v>
      </c>
      <c r="J1771" s="473">
        <f t="shared" si="264"/>
        <v>0</v>
      </c>
      <c r="K1771" s="473">
        <f t="shared" si="264"/>
        <v>400000</v>
      </c>
      <c r="L1771" s="167">
        <f t="shared" si="264"/>
        <v>400000</v>
      </c>
      <c r="M1771" s="167">
        <f t="shared" si="264"/>
        <v>0</v>
      </c>
      <c r="N1771" s="167">
        <f t="shared" si="264"/>
        <v>400000</v>
      </c>
      <c r="O1771" s="405"/>
      <c r="P1771" s="405"/>
    </row>
    <row r="1772" spans="1:20" ht="54.75" hidden="1" customHeight="1">
      <c r="A1772" s="273"/>
      <c r="B1772" s="481" t="str">
        <f t="shared" ref="B1772:N1772" si="265">B617</f>
        <v>M0167G0107N</v>
      </c>
      <c r="C1772" s="490" t="str">
        <f t="shared" si="265"/>
        <v>ATENDIMENTO AS ATIVIDADES ADMINISTRATIVAS</v>
      </c>
      <c r="D1772" s="483">
        <f t="shared" si="265"/>
        <v>8100</v>
      </c>
      <c r="E1772" s="484">
        <f t="shared" si="265"/>
        <v>108288</v>
      </c>
      <c r="F1772" s="526" t="str">
        <f t="shared" si="265"/>
        <v>PROEX</v>
      </c>
      <c r="G1772" s="488" t="str">
        <f t="shared" si="265"/>
        <v>Atividades Realizadas</v>
      </c>
      <c r="H1772" s="489">
        <f t="shared" si="265"/>
        <v>25</v>
      </c>
      <c r="I1772" s="473">
        <f t="shared" si="265"/>
        <v>382797</v>
      </c>
      <c r="J1772" s="473">
        <f t="shared" si="265"/>
        <v>0</v>
      </c>
      <c r="K1772" s="473">
        <f t="shared" si="265"/>
        <v>382797</v>
      </c>
      <c r="L1772" s="167">
        <f t="shared" si="265"/>
        <v>382797</v>
      </c>
      <c r="M1772" s="167">
        <f t="shared" si="265"/>
        <v>0</v>
      </c>
      <c r="N1772" s="167">
        <f t="shared" si="265"/>
        <v>382797</v>
      </c>
      <c r="O1772" s="405"/>
      <c r="P1772" s="405"/>
    </row>
    <row r="1773" spans="1:20" ht="21.95" hidden="1" customHeight="1">
      <c r="A1773" s="107"/>
      <c r="B1773" s="107"/>
      <c r="C1773" s="608"/>
      <c r="D1773" s="608"/>
      <c r="E1773" s="608"/>
      <c r="F1773" s="608"/>
      <c r="G1773" s="23"/>
      <c r="H1773" s="23"/>
      <c r="I1773" s="23"/>
      <c r="J1773" s="23"/>
      <c r="K1773" s="23"/>
      <c r="L1773" s="608"/>
      <c r="M1773" s="608"/>
      <c r="N1773" s="608"/>
      <c r="O1773" s="27"/>
      <c r="P1773" s="27"/>
      <c r="Q1773" s="620"/>
      <c r="R1773" s="27"/>
      <c r="S1773" s="27"/>
      <c r="T1773" s="27"/>
    </row>
    <row r="1774" spans="1:20" ht="29.25" hidden="1" customHeight="1">
      <c r="A1774" s="27"/>
      <c r="B1774" s="27"/>
      <c r="C1774" s="1204" t="s">
        <v>51</v>
      </c>
      <c r="D1774" s="1204"/>
      <c r="E1774" s="1204"/>
      <c r="F1774" s="1204"/>
      <c r="O1774" s="27"/>
      <c r="P1774" s="27"/>
      <c r="Q1774" s="620"/>
      <c r="R1774" s="27"/>
      <c r="S1774" s="27"/>
      <c r="T1774" s="27"/>
    </row>
    <row r="1775" spans="1:20" ht="29.25" hidden="1" customHeight="1">
      <c r="A1775" s="27"/>
      <c r="B1775" s="27"/>
      <c r="C1775" s="1204" t="s">
        <v>52</v>
      </c>
      <c r="D1775" s="1204"/>
      <c r="E1775" s="1204"/>
      <c r="F1775" s="1204"/>
      <c r="O1775" s="27"/>
      <c r="P1775" s="27"/>
      <c r="Q1775" s="620"/>
      <c r="R1775" s="27"/>
      <c r="S1775" s="27"/>
      <c r="T1775" s="27"/>
    </row>
    <row r="1776" spans="1:20" ht="29.25" hidden="1" customHeight="1">
      <c r="A1776" s="27"/>
      <c r="B1776" s="27"/>
      <c r="C1776" s="1204" t="s">
        <v>50</v>
      </c>
      <c r="D1776" s="1204"/>
      <c r="E1776" s="1204"/>
      <c r="F1776" s="1204"/>
      <c r="O1776" s="27"/>
      <c r="P1776" s="27"/>
      <c r="Q1776" s="620"/>
      <c r="R1776" s="27"/>
      <c r="S1776" s="27"/>
      <c r="T1776" s="27"/>
    </row>
    <row r="1777" spans="1:20" ht="21.95" hidden="1" customHeight="1">
      <c r="A1777" s="27"/>
      <c r="B1777" s="27"/>
      <c r="F1777" s="27"/>
      <c r="O1777" s="27"/>
      <c r="P1777" s="27"/>
      <c r="Q1777" s="620"/>
      <c r="R1777" s="27"/>
      <c r="S1777" s="27"/>
      <c r="T1777" s="27"/>
    </row>
    <row r="1778" spans="1:20" ht="30" hidden="1" customHeight="1">
      <c r="A1778" s="27"/>
      <c r="B1778" s="27"/>
      <c r="F1778" s="27"/>
      <c r="O1778" s="27"/>
      <c r="P1778" s="27"/>
      <c r="Q1778" s="620"/>
      <c r="R1778" s="27"/>
      <c r="S1778" s="27"/>
      <c r="T1778" s="27"/>
    </row>
    <row r="1779" spans="1:20" ht="30" hidden="1" customHeight="1">
      <c r="A1779" s="349" t="s">
        <v>1060</v>
      </c>
      <c r="B1779" s="1226" t="s">
        <v>1061</v>
      </c>
      <c r="C1779" s="1226"/>
      <c r="D1779" s="1226"/>
      <c r="E1779" s="1226"/>
      <c r="F1779" s="1226"/>
      <c r="G1779" s="1226"/>
      <c r="H1779" s="1226"/>
      <c r="I1779" s="1226"/>
      <c r="J1779" s="1226"/>
      <c r="K1779" s="1226"/>
      <c r="L1779" s="349"/>
      <c r="M1779" s="349"/>
      <c r="N1779" s="349"/>
      <c r="O1779" s="27"/>
      <c r="P1779" s="27"/>
      <c r="Q1779" s="620"/>
      <c r="R1779" s="27"/>
      <c r="S1779" s="27"/>
      <c r="T1779" s="27"/>
    </row>
    <row r="1780" spans="1:20" ht="21.95" hidden="1" customHeight="1">
      <c r="A1780" s="46"/>
      <c r="B1780" s="46"/>
      <c r="C1780" s="46"/>
      <c r="D1780" s="46"/>
      <c r="E1780" s="46"/>
      <c r="F1780" s="46"/>
      <c r="G1780" s="46"/>
      <c r="H1780" s="46"/>
      <c r="I1780" s="46"/>
      <c r="J1780" s="46"/>
      <c r="K1780" s="46"/>
      <c r="L1780" s="46"/>
      <c r="M1780" s="46"/>
      <c r="N1780" s="46"/>
      <c r="O1780" s="27"/>
      <c r="P1780" s="27"/>
      <c r="Q1780" s="620"/>
      <c r="R1780" s="27"/>
      <c r="S1780" s="27"/>
      <c r="T1780" s="27"/>
    </row>
    <row r="1781" spans="1:20" ht="30" hidden="1" customHeight="1">
      <c r="A1781" s="27"/>
      <c r="B1781" s="27"/>
      <c r="F1781" s="27"/>
      <c r="O1781" s="27"/>
      <c r="P1781" s="27"/>
      <c r="Q1781" s="620"/>
      <c r="R1781" s="27"/>
      <c r="S1781" s="27"/>
      <c r="T1781" s="27"/>
    </row>
    <row r="1782" spans="1:20" ht="30" hidden="1" customHeight="1">
      <c r="A1782" s="355"/>
      <c r="B1782" s="605" t="s">
        <v>350</v>
      </c>
      <c r="C1782" s="355"/>
      <c r="D1782" s="355"/>
      <c r="E1782" s="355"/>
      <c r="F1782" s="355"/>
      <c r="G1782" s="355"/>
      <c r="H1782" s="355"/>
      <c r="I1782" s="355"/>
      <c r="J1782" s="355"/>
      <c r="K1782" s="355"/>
      <c r="L1782" s="355"/>
      <c r="M1782" s="355"/>
      <c r="N1782" s="355"/>
      <c r="O1782" s="27"/>
      <c r="P1782" s="27"/>
      <c r="Q1782" s="620"/>
      <c r="R1782" s="27"/>
      <c r="S1782" s="27"/>
      <c r="T1782" s="27"/>
    </row>
    <row r="1783" spans="1:20" s="500" customFormat="1" ht="90" hidden="1">
      <c r="A1783" s="496" t="s">
        <v>646</v>
      </c>
      <c r="B1783" s="497" t="s">
        <v>1062</v>
      </c>
      <c r="C1783" s="497" t="s">
        <v>37</v>
      </c>
      <c r="D1783" s="497" t="s">
        <v>440</v>
      </c>
      <c r="E1783" s="497" t="s">
        <v>16</v>
      </c>
      <c r="F1783" s="497" t="s">
        <v>185</v>
      </c>
      <c r="G1783" s="497" t="s">
        <v>178</v>
      </c>
      <c r="H1783" s="497" t="s">
        <v>179</v>
      </c>
      <c r="I1783" s="497" t="s">
        <v>180</v>
      </c>
      <c r="J1783" s="497" t="s">
        <v>181</v>
      </c>
      <c r="K1783" s="497" t="s">
        <v>200</v>
      </c>
      <c r="L1783" s="496" t="s">
        <v>180</v>
      </c>
      <c r="M1783" s="496" t="s">
        <v>181</v>
      </c>
      <c r="N1783" s="496" t="s">
        <v>200</v>
      </c>
      <c r="O1783" s="498" t="s">
        <v>181</v>
      </c>
      <c r="P1783" s="498" t="s">
        <v>200</v>
      </c>
      <c r="Q1783" s="622"/>
      <c r="R1783" s="498"/>
      <c r="S1783" s="498"/>
      <c r="T1783" s="499"/>
    </row>
    <row r="1784" spans="1:20" ht="54.75" hidden="1" customHeight="1">
      <c r="A1784" s="273"/>
      <c r="B1784" s="481" t="str">
        <f t="shared" ref="B1784:N1784" si="266">B668</f>
        <v>M0168G0109N</v>
      </c>
      <c r="C1784" s="490" t="str">
        <f t="shared" si="266"/>
        <v>ATIVIDADES PRÓPRIAS DA PROINTER</v>
      </c>
      <c r="D1784" s="483">
        <f t="shared" si="266"/>
        <v>8100</v>
      </c>
      <c r="E1784" s="484">
        <f t="shared" si="266"/>
        <v>108288</v>
      </c>
      <c r="F1784" s="526" t="str">
        <f t="shared" si="266"/>
        <v>PROINTER</v>
      </c>
      <c r="G1784" s="488" t="str">
        <f t="shared" si="266"/>
        <v>Alunos Atendidos</v>
      </c>
      <c r="H1784" s="489">
        <f t="shared" si="266"/>
        <v>50</v>
      </c>
      <c r="I1784" s="473">
        <f t="shared" si="266"/>
        <v>179017</v>
      </c>
      <c r="J1784" s="473">
        <f t="shared" si="266"/>
        <v>0</v>
      </c>
      <c r="K1784" s="473">
        <f t="shared" si="266"/>
        <v>179017</v>
      </c>
      <c r="L1784" s="167">
        <f t="shared" si="266"/>
        <v>179017</v>
      </c>
      <c r="M1784" s="167">
        <f t="shared" si="266"/>
        <v>0</v>
      </c>
      <c r="N1784" s="167">
        <f t="shared" si="266"/>
        <v>179017</v>
      </c>
      <c r="O1784" s="405"/>
      <c r="P1784" s="405"/>
    </row>
    <row r="1785" spans="1:20" ht="54.75" hidden="1" customHeight="1">
      <c r="A1785" s="273"/>
      <c r="B1785" s="481" t="str">
        <f t="shared" ref="B1785:N1791" si="267">B743</f>
        <v>M0197G0103N</v>
      </c>
      <c r="C1785" s="490" t="str">
        <f t="shared" si="267"/>
        <v>PROMOÇÃO DA CULTURA DE INOVAÇÃO TECNOLÓGICA</v>
      </c>
      <c r="D1785" s="483">
        <f t="shared" si="267"/>
        <v>8100</v>
      </c>
      <c r="E1785" s="484">
        <f t="shared" si="267"/>
        <v>108288</v>
      </c>
      <c r="F1785" s="526" t="str">
        <f t="shared" si="267"/>
        <v>AGÊNCIA DE INOVAÇÃO TECNOLÓGICA</v>
      </c>
      <c r="G1785" s="488" t="str">
        <f t="shared" si="267"/>
        <v>Atividades Realizadas</v>
      </c>
      <c r="H1785" s="489">
        <f t="shared" si="267"/>
        <v>10</v>
      </c>
      <c r="I1785" s="473">
        <f t="shared" si="267"/>
        <v>6000</v>
      </c>
      <c r="J1785" s="473">
        <f t="shared" si="267"/>
        <v>0</v>
      </c>
      <c r="K1785" s="473">
        <f t="shared" si="267"/>
        <v>6000</v>
      </c>
      <c r="L1785" s="167">
        <f t="shared" si="267"/>
        <v>6000</v>
      </c>
      <c r="M1785" s="167">
        <f t="shared" si="267"/>
        <v>0</v>
      </c>
      <c r="N1785" s="167">
        <f t="shared" si="267"/>
        <v>6000</v>
      </c>
      <c r="O1785" s="405"/>
      <c r="P1785" s="405"/>
    </row>
    <row r="1786" spans="1:20" ht="54.75" hidden="1" customHeight="1">
      <c r="A1786" s="273"/>
      <c r="B1786" s="481" t="str">
        <f t="shared" si="267"/>
        <v>M0198G0103N</v>
      </c>
      <c r="C1786" s="490" t="str">
        <f t="shared" si="267"/>
        <v>IMPLEMENTAÇÃO DE S.G.Q. PARA OS LABORATÓRIOS DA UFPA</v>
      </c>
      <c r="D1786" s="483">
        <f t="shared" si="267"/>
        <v>8100</v>
      </c>
      <c r="E1786" s="484">
        <f t="shared" si="267"/>
        <v>108288</v>
      </c>
      <c r="F1786" s="526" t="str">
        <f t="shared" si="267"/>
        <v>AGÊNCIA DE INOVAÇÃO TECNOLÓGICA</v>
      </c>
      <c r="G1786" s="488" t="str">
        <f t="shared" si="267"/>
        <v>Projeto Implantado</v>
      </c>
      <c r="H1786" s="489">
        <f t="shared" si="267"/>
        <v>1</v>
      </c>
      <c r="I1786" s="473">
        <f t="shared" si="267"/>
        <v>8000</v>
      </c>
      <c r="J1786" s="473">
        <f t="shared" si="267"/>
        <v>0</v>
      </c>
      <c r="K1786" s="473">
        <f t="shared" si="267"/>
        <v>8000</v>
      </c>
      <c r="L1786" s="167">
        <f t="shared" si="267"/>
        <v>8000</v>
      </c>
      <c r="M1786" s="167">
        <f t="shared" si="267"/>
        <v>0</v>
      </c>
      <c r="N1786" s="167">
        <f t="shared" si="267"/>
        <v>8000</v>
      </c>
      <c r="O1786" s="405"/>
      <c r="P1786" s="405"/>
    </row>
    <row r="1787" spans="1:20" ht="54.75" hidden="1" customHeight="1">
      <c r="A1787" s="273"/>
      <c r="B1787" s="481" t="str">
        <f t="shared" si="267"/>
        <v>M0199G0103N</v>
      </c>
      <c r="C1787" s="490" t="str">
        <f t="shared" si="267"/>
        <v>EXECUÇÃO DE ATIVIDADES DA POLÍTICA DE INOVAÇÃO TECNOLÓGICA</v>
      </c>
      <c r="D1787" s="483">
        <f t="shared" si="267"/>
        <v>8100</v>
      </c>
      <c r="E1787" s="484">
        <f t="shared" si="267"/>
        <v>108288</v>
      </c>
      <c r="F1787" s="526" t="str">
        <f t="shared" si="267"/>
        <v>AGÊNCIA DE INOVAÇÃO TECNOLÓGICA</v>
      </c>
      <c r="G1787" s="488" t="str">
        <f t="shared" si="267"/>
        <v>Serviços Realizados</v>
      </c>
      <c r="H1787" s="489">
        <f t="shared" si="267"/>
        <v>10</v>
      </c>
      <c r="I1787" s="473">
        <f t="shared" si="267"/>
        <v>15000</v>
      </c>
      <c r="J1787" s="473">
        <f t="shared" si="267"/>
        <v>0</v>
      </c>
      <c r="K1787" s="473">
        <f t="shared" si="267"/>
        <v>15000</v>
      </c>
      <c r="L1787" s="167">
        <f t="shared" si="267"/>
        <v>15000</v>
      </c>
      <c r="M1787" s="167">
        <f t="shared" si="267"/>
        <v>0</v>
      </c>
      <c r="N1787" s="167">
        <f t="shared" si="267"/>
        <v>15000</v>
      </c>
      <c r="O1787" s="405"/>
      <c r="P1787" s="405"/>
    </row>
    <row r="1788" spans="1:20" ht="54.75" hidden="1" customHeight="1">
      <c r="A1788" s="273"/>
      <c r="B1788" s="481" t="str">
        <f t="shared" si="267"/>
        <v>M011AG0103N</v>
      </c>
      <c r="C1788" s="490" t="str">
        <f t="shared" si="267"/>
        <v>CRIAÇÃO DE METODOLOGIA PARA VALORIZAÇÃO DE TECNOLÓGIA NA UFPA</v>
      </c>
      <c r="D1788" s="483">
        <f t="shared" si="267"/>
        <v>8100</v>
      </c>
      <c r="E1788" s="484">
        <f t="shared" si="267"/>
        <v>108288</v>
      </c>
      <c r="F1788" s="526" t="str">
        <f t="shared" si="267"/>
        <v>AGÊNCIA DE INOVAÇÃO TECNOLÓGICA</v>
      </c>
      <c r="G1788" s="488" t="str">
        <f t="shared" si="267"/>
        <v>Projeto Implantado</v>
      </c>
      <c r="H1788" s="489">
        <f t="shared" si="267"/>
        <v>1</v>
      </c>
      <c r="I1788" s="473">
        <f t="shared" si="267"/>
        <v>8000</v>
      </c>
      <c r="J1788" s="473">
        <f t="shared" si="267"/>
        <v>0</v>
      </c>
      <c r="K1788" s="473">
        <f t="shared" si="267"/>
        <v>8000</v>
      </c>
      <c r="L1788" s="167">
        <f t="shared" si="267"/>
        <v>8000</v>
      </c>
      <c r="M1788" s="167">
        <f t="shared" si="267"/>
        <v>0</v>
      </c>
      <c r="N1788" s="167">
        <f t="shared" si="267"/>
        <v>8000</v>
      </c>
      <c r="O1788" s="405"/>
      <c r="P1788" s="405"/>
    </row>
    <row r="1789" spans="1:20" ht="54.75" hidden="1" customHeight="1">
      <c r="A1789" s="273"/>
      <c r="B1789" s="481" t="str">
        <f t="shared" si="267"/>
        <v>M012AG0110N</v>
      </c>
      <c r="C1789" s="490" t="str">
        <f t="shared" si="267"/>
        <v>DIVULGAÇÃO INTERNA E EXTERNA DA AGÊNCIA DE INOVAÇÃO TECNOLÓGICA DA UFPA</v>
      </c>
      <c r="D1789" s="483">
        <f t="shared" si="267"/>
        <v>8100</v>
      </c>
      <c r="E1789" s="484">
        <f t="shared" si="267"/>
        <v>108288</v>
      </c>
      <c r="F1789" s="526" t="str">
        <f t="shared" si="267"/>
        <v>AGÊNCIA DE INOVAÇÃO TECNOLÓGICA</v>
      </c>
      <c r="G1789" s="488" t="str">
        <f t="shared" si="267"/>
        <v>Eventos Promovidos/Realizados</v>
      </c>
      <c r="H1789" s="489">
        <f t="shared" si="267"/>
        <v>1</v>
      </c>
      <c r="I1789" s="473">
        <f t="shared" si="267"/>
        <v>8000</v>
      </c>
      <c r="J1789" s="473">
        <f t="shared" si="267"/>
        <v>0</v>
      </c>
      <c r="K1789" s="473">
        <f t="shared" si="267"/>
        <v>8000</v>
      </c>
      <c r="L1789" s="167">
        <f t="shared" si="267"/>
        <v>8000</v>
      </c>
      <c r="M1789" s="167">
        <f t="shared" si="267"/>
        <v>0</v>
      </c>
      <c r="N1789" s="167">
        <f t="shared" si="267"/>
        <v>8000</v>
      </c>
      <c r="O1789" s="405"/>
      <c r="P1789" s="405"/>
    </row>
    <row r="1790" spans="1:20" ht="54.75" hidden="1" customHeight="1">
      <c r="A1790" s="273"/>
      <c r="B1790" s="481" t="str">
        <f t="shared" si="267"/>
        <v>M011EG0117N</v>
      </c>
      <c r="C1790" s="490" t="str">
        <f t="shared" si="267"/>
        <v xml:space="preserve">MANUTENÇÃO DA AGÊNCIA </v>
      </c>
      <c r="D1790" s="483">
        <f t="shared" si="267"/>
        <v>8100</v>
      </c>
      <c r="E1790" s="484">
        <f t="shared" si="267"/>
        <v>108288</v>
      </c>
      <c r="F1790" s="526" t="str">
        <f t="shared" si="267"/>
        <v>AGÊNCIA DE INOVAÇÃO TECNOLÓGICA</v>
      </c>
      <c r="G1790" s="488" t="str">
        <f t="shared" si="267"/>
        <v>Funcionamento da Unidade</v>
      </c>
      <c r="H1790" s="489">
        <f t="shared" si="267"/>
        <v>1</v>
      </c>
      <c r="I1790" s="473">
        <f t="shared" si="267"/>
        <v>20000</v>
      </c>
      <c r="J1790" s="473">
        <f t="shared" si="267"/>
        <v>0</v>
      </c>
      <c r="K1790" s="473">
        <f t="shared" si="267"/>
        <v>20000</v>
      </c>
      <c r="L1790" s="167">
        <f t="shared" si="267"/>
        <v>20000</v>
      </c>
      <c r="M1790" s="167">
        <f t="shared" si="267"/>
        <v>0</v>
      </c>
      <c r="N1790" s="167">
        <f t="shared" si="267"/>
        <v>20000</v>
      </c>
      <c r="O1790" s="405"/>
      <c r="P1790" s="405"/>
    </row>
    <row r="1791" spans="1:20" ht="54.75" hidden="1" customHeight="1">
      <c r="A1791" s="273"/>
      <c r="B1791" s="481" t="str">
        <f t="shared" si="267"/>
        <v>M011FG0101N</v>
      </c>
      <c r="C1791" s="490" t="str">
        <f t="shared" si="267"/>
        <v>PROMOÇÃO DA CULTURA EMPREENDEDORA</v>
      </c>
      <c r="D1791" s="483">
        <f t="shared" si="267"/>
        <v>8100</v>
      </c>
      <c r="E1791" s="484">
        <f t="shared" si="267"/>
        <v>108288</v>
      </c>
      <c r="F1791" s="526" t="str">
        <f t="shared" si="267"/>
        <v>AGÊNCIA DE INOVAÇÃO TECNOLÓGICA</v>
      </c>
      <c r="G1791" s="488" t="str">
        <f t="shared" si="267"/>
        <v>Funcionamento da Unidade</v>
      </c>
      <c r="H1791" s="489">
        <f t="shared" si="267"/>
        <v>2</v>
      </c>
      <c r="I1791" s="473">
        <f t="shared" si="267"/>
        <v>7000</v>
      </c>
      <c r="J1791" s="473">
        <f t="shared" si="267"/>
        <v>0</v>
      </c>
      <c r="K1791" s="473">
        <f t="shared" si="267"/>
        <v>7000</v>
      </c>
      <c r="L1791" s="167">
        <f t="shared" si="267"/>
        <v>7000</v>
      </c>
      <c r="M1791" s="167">
        <f t="shared" si="267"/>
        <v>0</v>
      </c>
      <c r="N1791" s="167">
        <f t="shared" si="267"/>
        <v>7000</v>
      </c>
      <c r="O1791" s="405"/>
      <c r="P1791" s="405"/>
    </row>
    <row r="1792" spans="1:20" ht="54.75" hidden="1" customHeight="1">
      <c r="A1792" s="273"/>
      <c r="B1792" s="481" t="str">
        <f t="shared" ref="B1792:N1792" si="268">B783</f>
        <v>M0169G9506N</v>
      </c>
      <c r="C1792" s="490" t="str">
        <f t="shared" si="268"/>
        <v>AQUISIÇÃO DE MATERIAL BIBLIOGRáFICO, PERIÓDICOS E OUTROS</v>
      </c>
      <c r="D1792" s="483">
        <f t="shared" si="268"/>
        <v>8100</v>
      </c>
      <c r="E1792" s="484">
        <f t="shared" si="268"/>
        <v>108288</v>
      </c>
      <c r="F1792" s="526" t="str">
        <f t="shared" si="268"/>
        <v>Bibliot. Central</v>
      </c>
      <c r="G1792" s="488" t="str">
        <f t="shared" si="268"/>
        <v>Volume Bibliográfico Adquirido</v>
      </c>
      <c r="H1792" s="489">
        <f t="shared" si="268"/>
        <v>323</v>
      </c>
      <c r="I1792" s="473">
        <f t="shared" si="268"/>
        <v>77577</v>
      </c>
      <c r="J1792" s="473">
        <f t="shared" si="268"/>
        <v>0</v>
      </c>
      <c r="K1792" s="473">
        <f t="shared" si="268"/>
        <v>77577</v>
      </c>
      <c r="L1792" s="167">
        <f t="shared" si="268"/>
        <v>77577</v>
      </c>
      <c r="M1792" s="167">
        <f t="shared" si="268"/>
        <v>0</v>
      </c>
      <c r="N1792" s="167">
        <f t="shared" si="268"/>
        <v>77577</v>
      </c>
      <c r="O1792" s="405"/>
      <c r="P1792" s="405"/>
    </row>
    <row r="1793" spans="1:20" ht="54.75" hidden="1" customHeight="1">
      <c r="A1793" s="273"/>
      <c r="B1793" s="481" t="str">
        <f t="shared" ref="B1793:N1796" si="269">B811</f>
        <v>M014AG0110N</v>
      </c>
      <c r="C1793" s="490" t="str">
        <f t="shared" si="269"/>
        <v>IMPRESSÃO DE MATERIAL GRÁFICO</v>
      </c>
      <c r="D1793" s="483">
        <f t="shared" si="269"/>
        <v>8100</v>
      </c>
      <c r="E1793" s="484">
        <f t="shared" si="269"/>
        <v>108288</v>
      </c>
      <c r="F1793" s="526" t="str">
        <f t="shared" si="269"/>
        <v>CTIC</v>
      </c>
      <c r="G1793" s="488" t="str">
        <f t="shared" si="269"/>
        <v>Serviços Realizados</v>
      </c>
      <c r="H1793" s="489">
        <f t="shared" si="269"/>
        <v>450</v>
      </c>
      <c r="I1793" s="473">
        <f t="shared" si="269"/>
        <v>1000</v>
      </c>
      <c r="J1793" s="473">
        <f t="shared" si="269"/>
        <v>0</v>
      </c>
      <c r="K1793" s="473">
        <f t="shared" si="269"/>
        <v>1000</v>
      </c>
      <c r="L1793" s="167">
        <f t="shared" si="269"/>
        <v>1000</v>
      </c>
      <c r="M1793" s="167">
        <f t="shared" si="269"/>
        <v>0</v>
      </c>
      <c r="N1793" s="167">
        <f t="shared" si="269"/>
        <v>1000</v>
      </c>
      <c r="O1793" s="405"/>
      <c r="P1793" s="405"/>
    </row>
    <row r="1794" spans="1:20" ht="54.75" hidden="1" customHeight="1">
      <c r="A1794" s="273"/>
      <c r="B1794" s="481" t="str">
        <f t="shared" si="269"/>
        <v>M011BG0113N</v>
      </c>
      <c r="C1794" s="490" t="str">
        <f t="shared" si="269"/>
        <v>ANUIDADES DE ASSOCIAÇÕES E AFINS</v>
      </c>
      <c r="D1794" s="483">
        <f t="shared" si="269"/>
        <v>8100</v>
      </c>
      <c r="E1794" s="484">
        <f t="shared" si="269"/>
        <v>108288</v>
      </c>
      <c r="F1794" s="526" t="str">
        <f t="shared" si="269"/>
        <v>CTIC</v>
      </c>
      <c r="G1794" s="488" t="str">
        <f t="shared" si="269"/>
        <v>Atividades Realizadas</v>
      </c>
      <c r="H1794" s="489">
        <f t="shared" si="269"/>
        <v>150</v>
      </c>
      <c r="I1794" s="473">
        <f t="shared" si="269"/>
        <v>3000</v>
      </c>
      <c r="J1794" s="473">
        <f t="shared" si="269"/>
        <v>0</v>
      </c>
      <c r="K1794" s="473">
        <f t="shared" si="269"/>
        <v>3000</v>
      </c>
      <c r="L1794" s="167">
        <f t="shared" si="269"/>
        <v>3000</v>
      </c>
      <c r="M1794" s="167">
        <f t="shared" si="269"/>
        <v>0</v>
      </c>
      <c r="N1794" s="167">
        <f t="shared" si="269"/>
        <v>3000</v>
      </c>
      <c r="O1794" s="405"/>
      <c r="P1794" s="405"/>
    </row>
    <row r="1795" spans="1:20" ht="54.75" hidden="1" customHeight="1">
      <c r="A1795" s="273"/>
      <c r="B1795" s="481" t="str">
        <f t="shared" si="269"/>
        <v>M015DG0117N</v>
      </c>
      <c r="C1795" s="490" t="str">
        <f t="shared" si="269"/>
        <v>OBRAS, REFORMAS E MANUTENÇÃO PREDIAL DO CTIC</v>
      </c>
      <c r="D1795" s="483">
        <f t="shared" si="269"/>
        <v>8100</v>
      </c>
      <c r="E1795" s="484">
        <f t="shared" si="269"/>
        <v>108288</v>
      </c>
      <c r="F1795" s="526" t="str">
        <f t="shared" si="269"/>
        <v>CTIC</v>
      </c>
      <c r="G1795" s="488" t="str">
        <f t="shared" si="269"/>
        <v>Ambiente Físico Modernizado/Recuperado</v>
      </c>
      <c r="H1795" s="489" t="str">
        <f t="shared" si="269"/>
        <v>550m²</v>
      </c>
      <c r="I1795" s="473">
        <f t="shared" si="269"/>
        <v>56000</v>
      </c>
      <c r="J1795" s="473">
        <f t="shared" si="269"/>
        <v>0</v>
      </c>
      <c r="K1795" s="473">
        <f t="shared" si="269"/>
        <v>56000</v>
      </c>
      <c r="L1795" s="167">
        <f t="shared" si="269"/>
        <v>56000</v>
      </c>
      <c r="M1795" s="167">
        <f t="shared" si="269"/>
        <v>0</v>
      </c>
      <c r="N1795" s="167">
        <f t="shared" si="269"/>
        <v>56000</v>
      </c>
      <c r="O1795" s="405"/>
      <c r="P1795" s="405"/>
    </row>
    <row r="1796" spans="1:20" ht="54.75" hidden="1" customHeight="1">
      <c r="A1796" s="273"/>
      <c r="B1796" s="481" t="str">
        <f>B814</f>
        <v>M0119G0118N</v>
      </c>
      <c r="C1796" s="490" t="str">
        <f t="shared" si="269"/>
        <v>MANUTENÇÃO PREVENTIVA E CORRETIVA DA REDE METROBEL</v>
      </c>
      <c r="D1796" s="483">
        <f t="shared" si="269"/>
        <v>8100</v>
      </c>
      <c r="E1796" s="484">
        <f t="shared" si="269"/>
        <v>108288</v>
      </c>
      <c r="F1796" s="526" t="str">
        <f t="shared" si="269"/>
        <v>CTIC</v>
      </c>
      <c r="G1796" s="488" t="str">
        <f t="shared" si="269"/>
        <v>Atendimento Realizado</v>
      </c>
      <c r="H1796" s="489">
        <f t="shared" si="269"/>
        <v>1</v>
      </c>
      <c r="I1796" s="473">
        <f t="shared" si="269"/>
        <v>124294</v>
      </c>
      <c r="J1796" s="473">
        <f t="shared" si="269"/>
        <v>0</v>
      </c>
      <c r="K1796" s="473">
        <f t="shared" si="269"/>
        <v>124294</v>
      </c>
      <c r="L1796" s="167" t="e">
        <f>#REF!</f>
        <v>#REF!</v>
      </c>
      <c r="M1796" s="167" t="e">
        <f>#REF!</f>
        <v>#REF!</v>
      </c>
      <c r="N1796" s="167" t="e">
        <f>#REF!</f>
        <v>#REF!</v>
      </c>
      <c r="O1796" s="405"/>
      <c r="P1796" s="405"/>
    </row>
    <row r="1797" spans="1:20" ht="54.75" hidden="1" customHeight="1">
      <c r="A1797" s="273"/>
      <c r="B1797" s="481" t="str">
        <f t="shared" ref="B1797:N1797" si="270">B847</f>
        <v>M016DG0113N</v>
      </c>
      <c r="C1797" s="490" t="str">
        <f t="shared" si="270"/>
        <v>SERVIÇO DE MONITORAMENTO E SEGURANÇA</v>
      </c>
      <c r="D1797" s="483">
        <f t="shared" si="270"/>
        <v>8100</v>
      </c>
      <c r="E1797" s="484">
        <f t="shared" si="270"/>
        <v>108288</v>
      </c>
      <c r="F1797" s="526" t="str">
        <f t="shared" si="270"/>
        <v>CIAC</v>
      </c>
      <c r="G1797" s="488" t="str">
        <f t="shared" si="270"/>
        <v>Serviços Realizados</v>
      </c>
      <c r="H1797" s="489">
        <f t="shared" si="270"/>
        <v>1</v>
      </c>
      <c r="I1797" s="473">
        <f t="shared" si="270"/>
        <v>10000</v>
      </c>
      <c r="J1797" s="473">
        <f t="shared" si="270"/>
        <v>0</v>
      </c>
      <c r="K1797" s="473">
        <f t="shared" si="270"/>
        <v>10000</v>
      </c>
      <c r="L1797" s="167">
        <f t="shared" si="270"/>
        <v>10000</v>
      </c>
      <c r="M1797" s="167">
        <f t="shared" si="270"/>
        <v>0</v>
      </c>
      <c r="N1797" s="167">
        <f t="shared" si="270"/>
        <v>10000</v>
      </c>
      <c r="O1797" s="405"/>
      <c r="P1797" s="405"/>
    </row>
    <row r="1798" spans="1:20" ht="54.75" hidden="1" customHeight="1">
      <c r="A1798" s="273"/>
      <c r="B1798" s="481" t="str">
        <f t="shared" ref="B1798:N1801" si="271">B912</f>
        <v>M0171G0110N</v>
      </c>
      <c r="C1798" s="490" t="str">
        <f t="shared" si="271"/>
        <v>FUNCIONAMENTO DA EDITORA UNIVERSITÁRIA</v>
      </c>
      <c r="D1798" s="483">
        <f t="shared" si="271"/>
        <v>8100</v>
      </c>
      <c r="E1798" s="484">
        <f t="shared" si="271"/>
        <v>108288</v>
      </c>
      <c r="F1798" s="526" t="str">
        <f t="shared" si="271"/>
        <v>Editora</v>
      </c>
      <c r="G1798" s="488" t="str">
        <f t="shared" si="271"/>
        <v>Exemplar</v>
      </c>
      <c r="H1798" s="489">
        <f t="shared" si="271"/>
        <v>10</v>
      </c>
      <c r="I1798" s="473">
        <f t="shared" si="271"/>
        <v>25000</v>
      </c>
      <c r="J1798" s="473">
        <f t="shared" si="271"/>
        <v>0</v>
      </c>
      <c r="K1798" s="473">
        <f t="shared" si="271"/>
        <v>25000</v>
      </c>
      <c r="L1798" s="167">
        <f t="shared" si="271"/>
        <v>25000</v>
      </c>
      <c r="M1798" s="167">
        <f t="shared" si="271"/>
        <v>0</v>
      </c>
      <c r="N1798" s="167">
        <f t="shared" si="271"/>
        <v>25000</v>
      </c>
      <c r="O1798" s="405"/>
      <c r="P1798" s="405"/>
    </row>
    <row r="1799" spans="1:20" ht="54.75" hidden="1" customHeight="1">
      <c r="A1799" s="273"/>
      <c r="B1799" s="481" t="str">
        <f t="shared" si="271"/>
        <v>M0172G0103N</v>
      </c>
      <c r="C1799" s="490" t="str">
        <f t="shared" si="271"/>
        <v>PRODUÇÃO DA EDIÇÃO BILÍNGUE DA COLEÇÃO DIÁLOGOS DE PLATÃO</v>
      </c>
      <c r="D1799" s="483">
        <f t="shared" si="271"/>
        <v>8100</v>
      </c>
      <c r="E1799" s="484">
        <f t="shared" si="271"/>
        <v>108288</v>
      </c>
      <c r="F1799" s="526" t="str">
        <f t="shared" si="271"/>
        <v>Editora</v>
      </c>
      <c r="G1799" s="488" t="str">
        <f t="shared" si="271"/>
        <v>Livro</v>
      </c>
      <c r="H1799" s="489">
        <f t="shared" si="271"/>
        <v>4</v>
      </c>
      <c r="I1799" s="473">
        <f t="shared" si="271"/>
        <v>150000</v>
      </c>
      <c r="J1799" s="473">
        <f t="shared" si="271"/>
        <v>0</v>
      </c>
      <c r="K1799" s="473">
        <f t="shared" si="271"/>
        <v>150000</v>
      </c>
      <c r="L1799" s="167">
        <f t="shared" si="271"/>
        <v>150000</v>
      </c>
      <c r="M1799" s="167">
        <f t="shared" si="271"/>
        <v>0</v>
      </c>
      <c r="N1799" s="167">
        <f t="shared" si="271"/>
        <v>150000</v>
      </c>
      <c r="O1799" s="405"/>
      <c r="P1799" s="405"/>
    </row>
    <row r="1800" spans="1:20" ht="54.75" hidden="1" customHeight="1">
      <c r="A1800" s="273"/>
      <c r="B1800" s="481" t="str">
        <f t="shared" si="271"/>
        <v>M0173G0103N</v>
      </c>
      <c r="C1800" s="490" t="str">
        <f t="shared" si="271"/>
        <v>PRODUÇÃO EDITORIAL DE LIVROS DE SÉRIES DA EDUFPA</v>
      </c>
      <c r="D1800" s="483">
        <f t="shared" si="271"/>
        <v>8100</v>
      </c>
      <c r="E1800" s="484">
        <f t="shared" si="271"/>
        <v>108288</v>
      </c>
      <c r="F1800" s="526" t="str">
        <f t="shared" si="271"/>
        <v>Editora</v>
      </c>
      <c r="G1800" s="488" t="str">
        <f t="shared" si="271"/>
        <v>Livro</v>
      </c>
      <c r="H1800" s="489">
        <f t="shared" si="271"/>
        <v>5</v>
      </c>
      <c r="I1800" s="473">
        <f t="shared" si="271"/>
        <v>110000</v>
      </c>
      <c r="J1800" s="473">
        <f t="shared" si="271"/>
        <v>0</v>
      </c>
      <c r="K1800" s="473">
        <f t="shared" si="271"/>
        <v>110000</v>
      </c>
      <c r="L1800" s="167">
        <f t="shared" si="271"/>
        <v>110000</v>
      </c>
      <c r="M1800" s="167">
        <f t="shared" si="271"/>
        <v>0</v>
      </c>
      <c r="N1800" s="167">
        <f t="shared" si="271"/>
        <v>110000</v>
      </c>
      <c r="O1800" s="405"/>
      <c r="P1800" s="405"/>
    </row>
    <row r="1801" spans="1:20" ht="54.75" hidden="1" customHeight="1">
      <c r="A1801" s="273"/>
      <c r="B1801" s="481" t="str">
        <f t="shared" si="271"/>
        <v>M0174G0110N</v>
      </c>
      <c r="C1801" s="490" t="str">
        <f t="shared" si="271"/>
        <v>PARTICIPAÇÃO EM FEIRAS E EVENTOS PARA EXPOSIÇÃO DE LIVROS</v>
      </c>
      <c r="D1801" s="483">
        <f t="shared" si="271"/>
        <v>8100</v>
      </c>
      <c r="E1801" s="484">
        <f t="shared" si="271"/>
        <v>108288</v>
      </c>
      <c r="F1801" s="526" t="str">
        <f t="shared" si="271"/>
        <v>Editora</v>
      </c>
      <c r="G1801" s="488" t="str">
        <f t="shared" si="271"/>
        <v>Evento</v>
      </c>
      <c r="H1801" s="489">
        <f t="shared" si="271"/>
        <v>2</v>
      </c>
      <c r="I1801" s="473">
        <f t="shared" si="271"/>
        <v>90000</v>
      </c>
      <c r="J1801" s="473">
        <f t="shared" si="271"/>
        <v>0</v>
      </c>
      <c r="K1801" s="473">
        <f t="shared" si="271"/>
        <v>90000</v>
      </c>
      <c r="L1801" s="167">
        <f t="shared" si="271"/>
        <v>90000</v>
      </c>
      <c r="M1801" s="167">
        <f t="shared" si="271"/>
        <v>0</v>
      </c>
      <c r="N1801" s="167">
        <f t="shared" si="271"/>
        <v>90000</v>
      </c>
      <c r="O1801" s="405"/>
      <c r="P1801" s="405"/>
    </row>
    <row r="1802" spans="1:20" s="472" customFormat="1" ht="45" hidden="1" customHeight="1">
      <c r="A1802" s="478" t="s">
        <v>200</v>
      </c>
      <c r="B1802" s="1263" t="s">
        <v>200</v>
      </c>
      <c r="C1802" s="1264"/>
      <c r="D1802" s="1264"/>
      <c r="E1802" s="1264"/>
      <c r="F1802" s="1264"/>
      <c r="G1802" s="1264"/>
      <c r="H1802" s="1265"/>
      <c r="I1802" s="479">
        <f>SUM(I1790:I1801)+SUM(I1751:I1789)+SUM(I1702:I1750)</f>
        <v>62791006</v>
      </c>
      <c r="J1802" s="479">
        <f>SUM(J1790:J1801)+SUM(J1751:J1789)+SUM(J1702:J1750)</f>
        <v>1379439</v>
      </c>
      <c r="K1802" s="479">
        <f>I1802+J1802</f>
        <v>64170445</v>
      </c>
      <c r="L1802" s="480" t="e">
        <f>SUM(L1702:L1750,L1753:L1793,L1794:L1801)</f>
        <v>#REF!</v>
      </c>
      <c r="M1802" s="480" t="e">
        <f>SUM(M1702:M1750,M1753:M1793,M1794:M1801)</f>
        <v>#REF!</v>
      </c>
      <c r="N1802" s="480" t="e">
        <f>SUM(N1702:N1750,N1753:N1793,N1794:N1801)</f>
        <v>#REF!</v>
      </c>
      <c r="O1802" s="470">
        <f>N107</f>
        <v>64376809</v>
      </c>
      <c r="P1802" s="470" t="e">
        <f>O1802-N1802</f>
        <v>#REF!</v>
      </c>
      <c r="Q1802" s="622"/>
      <c r="R1802" s="470"/>
      <c r="S1802" s="470"/>
      <c r="T1802" s="471"/>
    </row>
    <row r="1803" spans="1:20" ht="24.95" hidden="1" customHeight="1">
      <c r="A1803" s="25"/>
      <c r="B1803" s="25"/>
      <c r="C1803" s="1286"/>
      <c r="D1803" s="1286"/>
      <c r="E1803" s="1286"/>
      <c r="F1803" s="1286"/>
      <c r="G1803" s="1286"/>
      <c r="H1803" s="1286"/>
      <c r="I1803" s="1286"/>
      <c r="J1803" s="1286"/>
      <c r="K1803" s="1286"/>
      <c r="L1803" s="1286"/>
      <c r="M1803" s="1286"/>
      <c r="N1803" s="1286"/>
      <c r="Q1803" s="620"/>
      <c r="R1803" s="27"/>
      <c r="S1803" s="27"/>
      <c r="T1803" s="27"/>
    </row>
    <row r="1804" spans="1:20" ht="17.100000000000001" hidden="1" customHeight="1">
      <c r="C1804" s="1290"/>
      <c r="D1804" s="1290"/>
      <c r="E1804" s="1290"/>
      <c r="F1804" s="1290"/>
      <c r="G1804" s="1290"/>
      <c r="H1804" s="1290"/>
      <c r="I1804" s="1290"/>
      <c r="J1804" s="1290"/>
      <c r="K1804" s="1290"/>
      <c r="L1804" s="1290"/>
      <c r="M1804" s="1290"/>
      <c r="N1804" s="1290"/>
      <c r="Q1804" s="620"/>
      <c r="R1804" s="27"/>
      <c r="S1804" s="27"/>
      <c r="T1804" s="27"/>
    </row>
    <row r="1805" spans="1:20" ht="17.100000000000001" hidden="1" customHeight="1">
      <c r="Q1805" s="620"/>
      <c r="R1805" s="27"/>
      <c r="S1805" s="27"/>
      <c r="T1805" s="27"/>
    </row>
    <row r="1806" spans="1:20" ht="17.100000000000001" hidden="1" customHeight="1">
      <c r="Q1806" s="620"/>
      <c r="R1806" s="27"/>
      <c r="S1806" s="27"/>
      <c r="T1806" s="27"/>
    </row>
    <row r="1807" spans="1:20" ht="17.100000000000001" hidden="1" customHeight="1">
      <c r="Q1807" s="620"/>
      <c r="R1807" s="27"/>
      <c r="S1807" s="27"/>
      <c r="T1807" s="27"/>
    </row>
    <row r="1808" spans="1:20" ht="21.95" hidden="1" customHeight="1">
      <c r="A1808" s="27"/>
      <c r="B1808" s="27"/>
      <c r="C1808" s="60"/>
      <c r="D1808" s="60"/>
      <c r="E1808" s="60"/>
      <c r="F1808" s="60"/>
      <c r="Q1808" s="620"/>
      <c r="R1808" s="27"/>
      <c r="S1808" s="27"/>
      <c r="T1808" s="27"/>
    </row>
    <row r="1809" spans="1:20" ht="31.5" hidden="1" customHeight="1">
      <c r="A1809" s="27"/>
      <c r="B1809" s="27"/>
      <c r="C1809" s="1204" t="s">
        <v>51</v>
      </c>
      <c r="D1809" s="1204"/>
      <c r="E1809" s="1204"/>
      <c r="F1809" s="1204"/>
      <c r="Q1809" s="620"/>
      <c r="R1809" s="27"/>
      <c r="S1809" s="27"/>
      <c r="T1809" s="27"/>
    </row>
    <row r="1810" spans="1:20" ht="31.5" hidden="1" customHeight="1">
      <c r="A1810" s="27"/>
      <c r="B1810" s="27"/>
      <c r="C1810" s="1204" t="s">
        <v>52</v>
      </c>
      <c r="D1810" s="1204"/>
      <c r="E1810" s="1204"/>
      <c r="F1810" s="1204"/>
      <c r="Q1810" s="620"/>
      <c r="R1810" s="27"/>
      <c r="S1810" s="27"/>
      <c r="T1810" s="27"/>
    </row>
    <row r="1811" spans="1:20" ht="31.5" hidden="1" customHeight="1">
      <c r="A1811" s="27"/>
      <c r="B1811" s="27"/>
      <c r="C1811" s="1204" t="s">
        <v>50</v>
      </c>
      <c r="D1811" s="1204"/>
      <c r="E1811" s="1204"/>
      <c r="F1811" s="1204"/>
      <c r="Q1811" s="620"/>
      <c r="R1811" s="27"/>
      <c r="S1811" s="27"/>
      <c r="T1811" s="27"/>
    </row>
    <row r="1812" spans="1:20" ht="17.100000000000001" hidden="1" customHeight="1">
      <c r="A1812" s="27"/>
      <c r="B1812" s="27"/>
      <c r="C1812" s="427"/>
      <c r="D1812" s="427"/>
      <c r="E1812" s="427"/>
      <c r="F1812" s="427"/>
      <c r="O1812" s="27"/>
      <c r="P1812" s="27"/>
      <c r="Q1812" s="620"/>
      <c r="R1812" s="27"/>
      <c r="S1812" s="27"/>
      <c r="T1812" s="27"/>
    </row>
    <row r="1813" spans="1:20" ht="30" hidden="1" customHeight="1">
      <c r="A1813" s="27"/>
      <c r="B1813" s="27"/>
      <c r="F1813" s="27"/>
      <c r="O1813" s="27"/>
      <c r="P1813" s="27"/>
      <c r="Q1813" s="620"/>
      <c r="R1813" s="27"/>
      <c r="S1813" s="27"/>
      <c r="T1813" s="27"/>
    </row>
    <row r="1814" spans="1:20" ht="30" hidden="1" customHeight="1">
      <c r="A1814" s="349" t="s">
        <v>1060</v>
      </c>
      <c r="B1814" s="1226" t="s">
        <v>1061</v>
      </c>
      <c r="C1814" s="1226"/>
      <c r="D1814" s="1226"/>
      <c r="E1814" s="1226"/>
      <c r="F1814" s="1226"/>
      <c r="G1814" s="1226"/>
      <c r="H1814" s="1226"/>
      <c r="I1814" s="1226"/>
      <c r="J1814" s="1226"/>
      <c r="K1814" s="1226"/>
      <c r="L1814" s="349"/>
      <c r="M1814" s="349"/>
      <c r="N1814" s="349"/>
      <c r="O1814" s="27"/>
      <c r="P1814" s="27"/>
      <c r="Q1814" s="620"/>
      <c r="R1814" s="27"/>
      <c r="S1814" s="27"/>
      <c r="T1814" s="27"/>
    </row>
    <row r="1815" spans="1:20" ht="30" hidden="1" customHeight="1">
      <c r="A1815" s="27"/>
      <c r="B1815" s="27"/>
      <c r="F1815" s="27"/>
      <c r="O1815" s="27"/>
      <c r="P1815" s="27"/>
      <c r="Q1815" s="620"/>
      <c r="R1815" s="27"/>
      <c r="S1815" s="27"/>
      <c r="T1815" s="27"/>
    </row>
    <row r="1816" spans="1:20" ht="30" hidden="1" customHeight="1">
      <c r="A1816" s="355"/>
      <c r="B1816" s="605" t="s">
        <v>351</v>
      </c>
      <c r="C1816" s="355"/>
      <c r="D1816" s="355"/>
      <c r="E1816" s="355"/>
      <c r="F1816" s="355"/>
      <c r="G1816" s="355"/>
      <c r="H1816" s="355"/>
      <c r="I1816" s="355"/>
      <c r="J1816" s="355"/>
      <c r="K1816" s="355"/>
      <c r="L1816" s="355"/>
      <c r="M1816" s="355"/>
      <c r="N1816" s="355"/>
      <c r="O1816" s="27"/>
      <c r="P1816" s="27"/>
      <c r="Q1816" s="620"/>
      <c r="R1816" s="27"/>
      <c r="S1816" s="27"/>
      <c r="T1816" s="27"/>
    </row>
    <row r="1817" spans="1:20" s="500" customFormat="1" ht="90" hidden="1">
      <c r="A1817" s="496" t="s">
        <v>646</v>
      </c>
      <c r="B1817" s="497" t="s">
        <v>1062</v>
      </c>
      <c r="C1817" s="497" t="s">
        <v>37</v>
      </c>
      <c r="D1817" s="497" t="s">
        <v>440</v>
      </c>
      <c r="E1817" s="497" t="s">
        <v>16</v>
      </c>
      <c r="F1817" s="497" t="s">
        <v>185</v>
      </c>
      <c r="G1817" s="497" t="s">
        <v>178</v>
      </c>
      <c r="H1817" s="497" t="s">
        <v>179</v>
      </c>
      <c r="I1817" s="497" t="s">
        <v>180</v>
      </c>
      <c r="J1817" s="497" t="s">
        <v>181</v>
      </c>
      <c r="K1817" s="497" t="s">
        <v>200</v>
      </c>
      <c r="L1817" s="496" t="s">
        <v>180</v>
      </c>
      <c r="M1817" s="496" t="s">
        <v>181</v>
      </c>
      <c r="N1817" s="496" t="s">
        <v>200</v>
      </c>
      <c r="O1817" s="498" t="s">
        <v>200</v>
      </c>
      <c r="P1817" s="498" t="s">
        <v>200</v>
      </c>
      <c r="Q1817" s="622"/>
      <c r="R1817" s="498"/>
      <c r="S1817" s="498"/>
      <c r="T1817" s="499"/>
    </row>
    <row r="1818" spans="1:20" ht="54.75" hidden="1" customHeight="1">
      <c r="A1818" s="273"/>
      <c r="B1818" s="481" t="str">
        <f t="shared" ref="B1818:N1830" si="272">B499</f>
        <v>M0201G1907N</v>
      </c>
      <c r="C1818" s="490" t="str">
        <f t="shared" si="272"/>
        <v>PROGRAMA INTEGRADO DE APOIO AO ENSINO, PESQUISA E EXTENSÃO - PROINT</v>
      </c>
      <c r="D1818" s="483">
        <f t="shared" si="272"/>
        <v>8100</v>
      </c>
      <c r="E1818" s="484">
        <f t="shared" si="272"/>
        <v>108288</v>
      </c>
      <c r="F1818" s="526" t="str">
        <f t="shared" si="272"/>
        <v>PROEG</v>
      </c>
      <c r="G1818" s="488" t="str">
        <f t="shared" si="272"/>
        <v>Projetos Elaborados</v>
      </c>
      <c r="H1818" s="489">
        <f t="shared" si="272"/>
        <v>48</v>
      </c>
      <c r="I1818" s="473">
        <f t="shared" si="272"/>
        <v>980000</v>
      </c>
      <c r="J1818" s="473">
        <f t="shared" si="272"/>
        <v>0</v>
      </c>
      <c r="K1818" s="473">
        <f t="shared" si="272"/>
        <v>980000</v>
      </c>
      <c r="L1818" s="167">
        <f t="shared" si="272"/>
        <v>980000</v>
      </c>
      <c r="M1818" s="167">
        <f t="shared" si="272"/>
        <v>0</v>
      </c>
      <c r="N1818" s="167">
        <f t="shared" si="272"/>
        <v>980000</v>
      </c>
      <c r="O1818" s="405"/>
      <c r="P1818" s="405"/>
    </row>
    <row r="1819" spans="1:20" ht="54.75" hidden="1" customHeight="1">
      <c r="A1819" s="273"/>
      <c r="B1819" s="481" t="str">
        <f t="shared" si="272"/>
        <v>M0202G1907N</v>
      </c>
      <c r="C1819" s="490" t="str">
        <f t="shared" si="272"/>
        <v>SEMINÁRIO DE AVALIAÇÃO DE RESULTADO DO PROGRAMA PROINT</v>
      </c>
      <c r="D1819" s="483">
        <f t="shared" si="272"/>
        <v>8100</v>
      </c>
      <c r="E1819" s="484">
        <f t="shared" si="272"/>
        <v>108288</v>
      </c>
      <c r="F1819" s="526" t="str">
        <f t="shared" si="272"/>
        <v>PROEG</v>
      </c>
      <c r="G1819" s="488" t="str">
        <f t="shared" si="272"/>
        <v>Eventos Promovidos/Realizados</v>
      </c>
      <c r="H1819" s="489">
        <f t="shared" si="272"/>
        <v>1</v>
      </c>
      <c r="I1819" s="473">
        <f t="shared" si="272"/>
        <v>20000</v>
      </c>
      <c r="J1819" s="473">
        <f t="shared" si="272"/>
        <v>0</v>
      </c>
      <c r="K1819" s="473">
        <f t="shared" si="272"/>
        <v>20000</v>
      </c>
      <c r="L1819" s="167">
        <f t="shared" si="272"/>
        <v>20000</v>
      </c>
      <c r="M1819" s="167">
        <f t="shared" si="272"/>
        <v>0</v>
      </c>
      <c r="N1819" s="167">
        <f t="shared" si="272"/>
        <v>20000</v>
      </c>
      <c r="O1819" s="405"/>
      <c r="P1819" s="405"/>
    </row>
    <row r="1820" spans="1:20" ht="54.75" hidden="1" customHeight="1">
      <c r="A1820" s="273"/>
      <c r="B1820" s="481" t="str">
        <f t="shared" si="272"/>
        <v>M0203G0101N</v>
      </c>
      <c r="C1820" s="490" t="str">
        <f t="shared" si="272"/>
        <v>COORDENAÇÃO DE EDUCAÇÃO BASICA E PROFISSIONAL</v>
      </c>
      <c r="D1820" s="483">
        <f t="shared" si="272"/>
        <v>8100</v>
      </c>
      <c r="E1820" s="484">
        <f t="shared" si="272"/>
        <v>108288</v>
      </c>
      <c r="F1820" s="526" t="str">
        <f t="shared" si="272"/>
        <v>PROEG</v>
      </c>
      <c r="G1820" s="488" t="str">
        <f t="shared" si="272"/>
        <v>Atendimento Realizado</v>
      </c>
      <c r="H1820" s="489">
        <f t="shared" si="272"/>
        <v>15</v>
      </c>
      <c r="I1820" s="473">
        <f t="shared" si="272"/>
        <v>36000</v>
      </c>
      <c r="J1820" s="473">
        <f t="shared" si="272"/>
        <v>0</v>
      </c>
      <c r="K1820" s="473">
        <f t="shared" si="272"/>
        <v>36000</v>
      </c>
      <c r="L1820" s="167">
        <f t="shared" si="272"/>
        <v>36000</v>
      </c>
      <c r="M1820" s="167">
        <f t="shared" si="272"/>
        <v>0</v>
      </c>
      <c r="N1820" s="167">
        <f t="shared" si="272"/>
        <v>36000</v>
      </c>
      <c r="O1820" s="405"/>
      <c r="P1820" s="405"/>
    </row>
    <row r="1821" spans="1:20" ht="54.75" hidden="1" customHeight="1">
      <c r="A1821" s="273"/>
      <c r="B1821" s="481" t="str">
        <f t="shared" si="272"/>
        <v>M0204G1902E</v>
      </c>
      <c r="C1821" s="490" t="str">
        <f t="shared" si="272"/>
        <v xml:space="preserve">PRÁTICAS PEDAGÓGICAS E POLÍTICAS DE INCLUSÃO </v>
      </c>
      <c r="D1821" s="483">
        <f t="shared" si="272"/>
        <v>8100</v>
      </c>
      <c r="E1821" s="484">
        <f t="shared" si="272"/>
        <v>108288</v>
      </c>
      <c r="F1821" s="526" t="str">
        <f t="shared" si="272"/>
        <v>PROEG</v>
      </c>
      <c r="G1821" s="488" t="str">
        <f t="shared" si="272"/>
        <v>Eventos Promovidos/Realizados</v>
      </c>
      <c r="H1821" s="489">
        <f t="shared" si="272"/>
        <v>30</v>
      </c>
      <c r="I1821" s="473">
        <f t="shared" si="272"/>
        <v>135416</v>
      </c>
      <c r="J1821" s="473">
        <f t="shared" si="272"/>
        <v>0</v>
      </c>
      <c r="K1821" s="473">
        <f t="shared" si="272"/>
        <v>135416</v>
      </c>
      <c r="L1821" s="167">
        <f t="shared" si="272"/>
        <v>135416</v>
      </c>
      <c r="M1821" s="167">
        <f t="shared" si="272"/>
        <v>0</v>
      </c>
      <c r="N1821" s="167">
        <f t="shared" si="272"/>
        <v>135416</v>
      </c>
      <c r="O1821" s="405"/>
      <c r="P1821" s="405"/>
    </row>
    <row r="1822" spans="1:20" ht="54.75" hidden="1" customHeight="1">
      <c r="A1822" s="273"/>
      <c r="B1822" s="481" t="str">
        <f t="shared" si="272"/>
        <v>M0205G1901N</v>
      </c>
      <c r="C1822" s="490" t="str">
        <f t="shared" si="272"/>
        <v>FÓRUM DE GRADUAÇÃO</v>
      </c>
      <c r="D1822" s="483">
        <f t="shared" si="272"/>
        <v>8100</v>
      </c>
      <c r="E1822" s="484">
        <f t="shared" si="272"/>
        <v>108288</v>
      </c>
      <c r="F1822" s="526" t="str">
        <f t="shared" si="272"/>
        <v>PROEG</v>
      </c>
      <c r="G1822" s="488" t="str">
        <f t="shared" si="272"/>
        <v>Eventos Promovidos/Realizados</v>
      </c>
      <c r="H1822" s="489">
        <f t="shared" si="272"/>
        <v>4</v>
      </c>
      <c r="I1822" s="473">
        <f t="shared" si="272"/>
        <v>90000</v>
      </c>
      <c r="J1822" s="473">
        <f t="shared" si="272"/>
        <v>0</v>
      </c>
      <c r="K1822" s="473">
        <f t="shared" si="272"/>
        <v>90000</v>
      </c>
      <c r="L1822" s="167">
        <f t="shared" si="272"/>
        <v>90000</v>
      </c>
      <c r="M1822" s="167">
        <f t="shared" si="272"/>
        <v>0</v>
      </c>
      <c r="N1822" s="167">
        <f t="shared" si="272"/>
        <v>90000</v>
      </c>
      <c r="O1822" s="405"/>
      <c r="P1822" s="405"/>
    </row>
    <row r="1823" spans="1:20" ht="54.75" hidden="1" customHeight="1">
      <c r="A1823" s="273"/>
      <c r="B1823" s="481" t="str">
        <f t="shared" si="272"/>
        <v>M0206G1901N</v>
      </c>
      <c r="C1823" s="490" t="str">
        <f t="shared" si="272"/>
        <v>COORDENADORIA DE APOIO AOS DISCENTES</v>
      </c>
      <c r="D1823" s="483">
        <f t="shared" si="272"/>
        <v>8100</v>
      </c>
      <c r="E1823" s="484">
        <f t="shared" si="272"/>
        <v>108288</v>
      </c>
      <c r="F1823" s="526" t="str">
        <f t="shared" si="272"/>
        <v>PROEG</v>
      </c>
      <c r="G1823" s="488" t="str">
        <f t="shared" si="272"/>
        <v>Atendimento Realizado</v>
      </c>
      <c r="H1823" s="489">
        <f t="shared" si="272"/>
        <v>1</v>
      </c>
      <c r="I1823" s="473">
        <f t="shared" si="272"/>
        <v>90000</v>
      </c>
      <c r="J1823" s="473">
        <f t="shared" si="272"/>
        <v>0</v>
      </c>
      <c r="K1823" s="473">
        <f t="shared" si="272"/>
        <v>90000</v>
      </c>
      <c r="L1823" s="167">
        <f t="shared" si="272"/>
        <v>90000</v>
      </c>
      <c r="M1823" s="167">
        <f t="shared" si="272"/>
        <v>0</v>
      </c>
      <c r="N1823" s="167">
        <f t="shared" si="272"/>
        <v>90000</v>
      </c>
      <c r="O1823" s="405"/>
      <c r="P1823" s="405"/>
    </row>
    <row r="1824" spans="1:20" ht="54.75" hidden="1" customHeight="1">
      <c r="A1824" s="273"/>
      <c r="B1824" s="481" t="str">
        <f t="shared" si="272"/>
        <v>M0207G0102N</v>
      </c>
      <c r="C1824" s="490" t="str">
        <f t="shared" si="272"/>
        <v>COORDENAÇÃO DE AVALIAÇÃO E CURRÍCULO</v>
      </c>
      <c r="D1824" s="483">
        <f t="shared" si="272"/>
        <v>8100</v>
      </c>
      <c r="E1824" s="484">
        <f t="shared" si="272"/>
        <v>108288</v>
      </c>
      <c r="F1824" s="526" t="str">
        <f t="shared" si="272"/>
        <v>PROEG</v>
      </c>
      <c r="G1824" s="488" t="str">
        <f t="shared" si="272"/>
        <v>Atendimento Realizado</v>
      </c>
      <c r="H1824" s="489">
        <f t="shared" si="272"/>
        <v>0.6</v>
      </c>
      <c r="I1824" s="473">
        <f t="shared" si="272"/>
        <v>54000</v>
      </c>
      <c r="J1824" s="473">
        <f t="shared" si="272"/>
        <v>0</v>
      </c>
      <c r="K1824" s="473">
        <f t="shared" si="272"/>
        <v>54000</v>
      </c>
      <c r="L1824" s="167">
        <f t="shared" si="272"/>
        <v>54000</v>
      </c>
      <c r="M1824" s="167">
        <f t="shared" si="272"/>
        <v>0</v>
      </c>
      <c r="N1824" s="167">
        <f t="shared" si="272"/>
        <v>54000</v>
      </c>
      <c r="O1824" s="405"/>
      <c r="P1824" s="405"/>
    </row>
    <row r="1825" spans="1:16" ht="54.75" hidden="1" customHeight="1">
      <c r="A1825" s="273"/>
      <c r="B1825" s="481" t="str">
        <f t="shared" si="272"/>
        <v>M0208G1906N</v>
      </c>
      <c r="C1825" s="490" t="str">
        <f t="shared" si="272"/>
        <v>PROGRAMA DE EDUCAÇÃO TUTORIAL - PET</v>
      </c>
      <c r="D1825" s="483">
        <f t="shared" si="272"/>
        <v>8100</v>
      </c>
      <c r="E1825" s="484">
        <f t="shared" si="272"/>
        <v>108288</v>
      </c>
      <c r="F1825" s="526" t="str">
        <f t="shared" si="272"/>
        <v>PROEG</v>
      </c>
      <c r="G1825" s="488" t="str">
        <f t="shared" si="272"/>
        <v>Atendimento Realizado</v>
      </c>
      <c r="H1825" s="489">
        <f t="shared" si="272"/>
        <v>110</v>
      </c>
      <c r="I1825" s="473">
        <f t="shared" si="272"/>
        <v>135000</v>
      </c>
      <c r="J1825" s="473">
        <f t="shared" si="272"/>
        <v>0</v>
      </c>
      <c r="K1825" s="473">
        <f t="shared" si="272"/>
        <v>135000</v>
      </c>
      <c r="L1825" s="167">
        <f t="shared" si="272"/>
        <v>135000</v>
      </c>
      <c r="M1825" s="167">
        <f t="shared" si="272"/>
        <v>0</v>
      </c>
      <c r="N1825" s="167">
        <f t="shared" si="272"/>
        <v>135000</v>
      </c>
      <c r="O1825" s="405"/>
      <c r="P1825" s="405"/>
    </row>
    <row r="1826" spans="1:16" ht="54.75" hidden="1" customHeight="1">
      <c r="A1826" s="273"/>
      <c r="B1826" s="481" t="str">
        <f t="shared" si="272"/>
        <v>M0209G1901N</v>
      </c>
      <c r="C1826" s="490" t="str">
        <f t="shared" si="272"/>
        <v>PROGRAMA DE BOLSA DE MONITORIA</v>
      </c>
      <c r="D1826" s="483">
        <f t="shared" si="272"/>
        <v>8100</v>
      </c>
      <c r="E1826" s="484">
        <f t="shared" si="272"/>
        <v>108288</v>
      </c>
      <c r="F1826" s="526" t="str">
        <f t="shared" si="272"/>
        <v>PROEG</v>
      </c>
      <c r="G1826" s="488" t="str">
        <f t="shared" si="272"/>
        <v>Projetos Elaborados</v>
      </c>
      <c r="H1826" s="489">
        <f t="shared" si="272"/>
        <v>120</v>
      </c>
      <c r="I1826" s="473">
        <f t="shared" si="272"/>
        <v>480916</v>
      </c>
      <c r="J1826" s="473">
        <f t="shared" si="272"/>
        <v>0</v>
      </c>
      <c r="K1826" s="473">
        <f t="shared" si="272"/>
        <v>480916</v>
      </c>
      <c r="L1826" s="167">
        <f t="shared" si="272"/>
        <v>480916</v>
      </c>
      <c r="M1826" s="167">
        <f t="shared" si="272"/>
        <v>0</v>
      </c>
      <c r="N1826" s="167">
        <f t="shared" si="272"/>
        <v>480916</v>
      </c>
      <c r="O1826" s="405"/>
      <c r="P1826" s="405"/>
    </row>
    <row r="1827" spans="1:16" ht="54.75" hidden="1" customHeight="1">
      <c r="A1827" s="273"/>
      <c r="B1827" s="481" t="str">
        <f t="shared" si="272"/>
        <v>M0255G1906N</v>
      </c>
      <c r="C1827" s="490" t="str">
        <f t="shared" si="272"/>
        <v>PROGRAMA DE APOIO A PROJETOS DE INTEGRAÇÃO METODOLOGICA - PAPIM</v>
      </c>
      <c r="D1827" s="483">
        <f t="shared" si="272"/>
        <v>8100</v>
      </c>
      <c r="E1827" s="484">
        <f t="shared" si="272"/>
        <v>108288</v>
      </c>
      <c r="F1827" s="526" t="str">
        <f t="shared" si="272"/>
        <v>PROEG</v>
      </c>
      <c r="G1827" s="488" t="str">
        <f t="shared" si="272"/>
        <v>Projetos Elaborados</v>
      </c>
      <c r="H1827" s="489">
        <f t="shared" si="272"/>
        <v>45</v>
      </c>
      <c r="I1827" s="473">
        <f t="shared" si="272"/>
        <v>480000</v>
      </c>
      <c r="J1827" s="473">
        <f t="shared" si="272"/>
        <v>0</v>
      </c>
      <c r="K1827" s="473">
        <f t="shared" si="272"/>
        <v>480000</v>
      </c>
      <c r="L1827" s="167">
        <f t="shared" si="272"/>
        <v>480000</v>
      </c>
      <c r="M1827" s="167">
        <f t="shared" si="272"/>
        <v>0</v>
      </c>
      <c r="N1827" s="167">
        <f t="shared" si="272"/>
        <v>480000</v>
      </c>
      <c r="O1827" s="405"/>
      <c r="P1827" s="405"/>
    </row>
    <row r="1828" spans="1:16" ht="54.75" hidden="1" customHeight="1">
      <c r="A1828" s="273"/>
      <c r="B1828" s="481" t="str">
        <f t="shared" si="272"/>
        <v>M0294G1906N</v>
      </c>
      <c r="C1828" s="490" t="str">
        <f t="shared" si="272"/>
        <v>SEMINÁRIO DE AVALIAÇÃO DE RESULTADO DE PROJETO PAPIM</v>
      </c>
      <c r="D1828" s="483">
        <f t="shared" si="272"/>
        <v>8100</v>
      </c>
      <c r="E1828" s="484">
        <f t="shared" si="272"/>
        <v>108288</v>
      </c>
      <c r="F1828" s="526" t="str">
        <f t="shared" si="272"/>
        <v>PROEG</v>
      </c>
      <c r="G1828" s="488" t="str">
        <f t="shared" si="272"/>
        <v>Eventos Promovidos/Realizados</v>
      </c>
      <c r="H1828" s="489">
        <f t="shared" si="272"/>
        <v>1</v>
      </c>
      <c r="I1828" s="473">
        <f t="shared" si="272"/>
        <v>20000</v>
      </c>
      <c r="J1828" s="473">
        <f t="shared" si="272"/>
        <v>0</v>
      </c>
      <c r="K1828" s="473">
        <f t="shared" si="272"/>
        <v>20000</v>
      </c>
      <c r="L1828" s="167">
        <f t="shared" si="272"/>
        <v>20000</v>
      </c>
      <c r="M1828" s="167">
        <f t="shared" si="272"/>
        <v>0</v>
      </c>
      <c r="N1828" s="167">
        <f t="shared" si="272"/>
        <v>20000</v>
      </c>
      <c r="O1828" s="405"/>
      <c r="P1828" s="405"/>
    </row>
    <row r="1829" spans="1:16" ht="54.75" hidden="1" customHeight="1">
      <c r="A1829" s="273"/>
      <c r="B1829" s="481" t="str">
        <f t="shared" si="272"/>
        <v>M0295G0113N</v>
      </c>
      <c r="C1829" s="490" t="str">
        <f t="shared" si="272"/>
        <v>RECURSO PARA GABINETE - PROEG2</v>
      </c>
      <c r="D1829" s="483">
        <f t="shared" si="272"/>
        <v>8100</v>
      </c>
      <c r="E1829" s="484">
        <f t="shared" si="272"/>
        <v>108288</v>
      </c>
      <c r="F1829" s="526" t="str">
        <f t="shared" si="272"/>
        <v>PROEG</v>
      </c>
      <c r="G1829" s="488" t="str">
        <f t="shared" si="272"/>
        <v>Atendimento Realizado</v>
      </c>
      <c r="H1829" s="489">
        <f t="shared" si="272"/>
        <v>1</v>
      </c>
      <c r="I1829" s="473">
        <f t="shared" si="272"/>
        <v>73483</v>
      </c>
      <c r="J1829" s="473">
        <f t="shared" si="272"/>
        <v>0</v>
      </c>
      <c r="K1829" s="473">
        <f t="shared" si="272"/>
        <v>73483</v>
      </c>
      <c r="L1829" s="167">
        <f t="shared" si="272"/>
        <v>73483</v>
      </c>
      <c r="M1829" s="167">
        <f t="shared" si="272"/>
        <v>0</v>
      </c>
      <c r="N1829" s="167">
        <f t="shared" si="272"/>
        <v>73483</v>
      </c>
      <c r="O1829" s="405"/>
      <c r="P1829" s="405"/>
    </row>
    <row r="1830" spans="1:16" ht="54.75" hidden="1" customHeight="1">
      <c r="A1830" s="273"/>
      <c r="B1830" s="481" t="str">
        <f t="shared" si="272"/>
        <v>M0296G1906N</v>
      </c>
      <c r="C1830" s="490" t="str">
        <f t="shared" si="272"/>
        <v>PROGRAMA QUALIGRAD1,2</v>
      </c>
      <c r="D1830" s="483">
        <f t="shared" si="272"/>
        <v>8100</v>
      </c>
      <c r="E1830" s="484">
        <f t="shared" si="272"/>
        <v>108288</v>
      </c>
      <c r="F1830" s="526" t="str">
        <f t="shared" si="272"/>
        <v>PROEG</v>
      </c>
      <c r="G1830" s="488" t="str">
        <f t="shared" si="272"/>
        <v>Projetos Elaborados</v>
      </c>
      <c r="H1830" s="489">
        <f t="shared" si="272"/>
        <v>12</v>
      </c>
      <c r="I1830" s="473">
        <f t="shared" si="272"/>
        <v>2000000</v>
      </c>
      <c r="J1830" s="473">
        <f t="shared" si="272"/>
        <v>2000000</v>
      </c>
      <c r="K1830" s="473">
        <f t="shared" si="272"/>
        <v>4000000</v>
      </c>
      <c r="L1830" s="167">
        <f t="shared" si="272"/>
        <v>2000000</v>
      </c>
      <c r="M1830" s="167">
        <f t="shared" si="272"/>
        <v>2000000</v>
      </c>
      <c r="N1830" s="167">
        <f t="shared" si="272"/>
        <v>4000000</v>
      </c>
      <c r="O1830" s="405"/>
      <c r="P1830" s="405"/>
    </row>
    <row r="1831" spans="1:16" ht="54.75" hidden="1" customHeight="1">
      <c r="A1831" s="273"/>
      <c r="B1831" s="481" t="str">
        <f t="shared" ref="B1831:N1834" si="273">B849</f>
        <v>M0210G0117N</v>
      </c>
      <c r="C1831" s="490" t="str">
        <f t="shared" si="273"/>
        <v>FUNCIONAMENTO DO CIAC</v>
      </c>
      <c r="D1831" s="483">
        <f t="shared" si="273"/>
        <v>8100</v>
      </c>
      <c r="E1831" s="484">
        <f t="shared" si="273"/>
        <v>108288</v>
      </c>
      <c r="F1831" s="526" t="str">
        <f t="shared" si="273"/>
        <v>CIAC</v>
      </c>
      <c r="G1831" s="488" t="str">
        <f t="shared" si="273"/>
        <v>Funcionamento da Unidade</v>
      </c>
      <c r="H1831" s="489">
        <f t="shared" si="273"/>
        <v>1</v>
      </c>
      <c r="I1831" s="473">
        <f t="shared" si="273"/>
        <v>42287</v>
      </c>
      <c r="J1831" s="473">
        <f t="shared" si="273"/>
        <v>0</v>
      </c>
      <c r="K1831" s="473">
        <f t="shared" si="273"/>
        <v>42287</v>
      </c>
      <c r="L1831" s="167">
        <f t="shared" si="273"/>
        <v>42287</v>
      </c>
      <c r="M1831" s="167">
        <f t="shared" si="273"/>
        <v>0</v>
      </c>
      <c r="N1831" s="167">
        <f t="shared" si="273"/>
        <v>42287</v>
      </c>
      <c r="O1831" s="405"/>
      <c r="P1831" s="405"/>
    </row>
    <row r="1832" spans="1:16" ht="54.75" hidden="1" customHeight="1">
      <c r="A1832" s="273"/>
      <c r="B1832" s="481" t="str">
        <f t="shared" si="273"/>
        <v>M0211G0113N</v>
      </c>
      <c r="C1832" s="490" t="str">
        <f t="shared" si="273"/>
        <v>DIPLOMAS DE GRADUAÇÃO E PÓS-GRADUAÇÃO</v>
      </c>
      <c r="D1832" s="483">
        <f t="shared" si="273"/>
        <v>8100</v>
      </c>
      <c r="E1832" s="484">
        <f t="shared" si="273"/>
        <v>108288</v>
      </c>
      <c r="F1832" s="526" t="str">
        <f t="shared" si="273"/>
        <v>CIAC</v>
      </c>
      <c r="G1832" s="488" t="str">
        <f t="shared" si="273"/>
        <v>Diploma Impresso</v>
      </c>
      <c r="H1832" s="489">
        <f t="shared" si="273"/>
        <v>20000</v>
      </c>
      <c r="I1832" s="473">
        <f t="shared" si="273"/>
        <v>36271</v>
      </c>
      <c r="J1832" s="473">
        <f t="shared" si="273"/>
        <v>0</v>
      </c>
      <c r="K1832" s="473">
        <f t="shared" si="273"/>
        <v>36271</v>
      </c>
      <c r="L1832" s="167">
        <f t="shared" si="273"/>
        <v>36271</v>
      </c>
      <c r="M1832" s="167">
        <f t="shared" si="273"/>
        <v>0</v>
      </c>
      <c r="N1832" s="167">
        <f t="shared" si="273"/>
        <v>36271</v>
      </c>
      <c r="O1832" s="405"/>
      <c r="P1832" s="405"/>
    </row>
    <row r="1833" spans="1:16" ht="54.75" hidden="1" customHeight="1">
      <c r="A1833" s="273"/>
      <c r="B1833" s="481" t="str">
        <f t="shared" si="273"/>
        <v>M0212G0113N</v>
      </c>
      <c r="C1833" s="490" t="str">
        <f t="shared" si="273"/>
        <v>CONTROLE E AUDITORIA ACADÊMICA NOS CAMPI</v>
      </c>
      <c r="D1833" s="483">
        <f t="shared" si="273"/>
        <v>8100</v>
      </c>
      <c r="E1833" s="484">
        <f t="shared" si="273"/>
        <v>108288</v>
      </c>
      <c r="F1833" s="526" t="str">
        <f t="shared" si="273"/>
        <v>CIAC</v>
      </c>
      <c r="G1833" s="488" t="str">
        <f t="shared" si="273"/>
        <v>Unidade Auditada</v>
      </c>
      <c r="H1833" s="489">
        <f t="shared" si="273"/>
        <v>30</v>
      </c>
      <c r="I1833" s="473">
        <f t="shared" si="273"/>
        <v>26015</v>
      </c>
      <c r="J1833" s="473">
        <f t="shared" si="273"/>
        <v>0</v>
      </c>
      <c r="K1833" s="473">
        <f t="shared" si="273"/>
        <v>26015</v>
      </c>
      <c r="L1833" s="167">
        <f t="shared" si="273"/>
        <v>26015</v>
      </c>
      <c r="M1833" s="167">
        <f t="shared" si="273"/>
        <v>0</v>
      </c>
      <c r="N1833" s="167">
        <f t="shared" si="273"/>
        <v>26015</v>
      </c>
      <c r="O1833" s="405"/>
      <c r="P1833" s="405"/>
    </row>
    <row r="1834" spans="1:16" ht="54.75" hidden="1" customHeight="1">
      <c r="A1834" s="273"/>
      <c r="B1834" s="481" t="str">
        <f t="shared" si="273"/>
        <v>M0213G0110N</v>
      </c>
      <c r="C1834" s="490" t="str">
        <f t="shared" si="273"/>
        <v>PRODUÇÃO DE MATERIAL ACADÊMICO</v>
      </c>
      <c r="D1834" s="483">
        <f t="shared" si="273"/>
        <v>8100</v>
      </c>
      <c r="E1834" s="484">
        <f t="shared" si="273"/>
        <v>108288</v>
      </c>
      <c r="F1834" s="526" t="str">
        <f t="shared" si="273"/>
        <v>CIAC</v>
      </c>
      <c r="G1834" s="488" t="str">
        <f t="shared" si="273"/>
        <v>Exemplar</v>
      </c>
      <c r="H1834" s="489">
        <f t="shared" si="273"/>
        <v>5000</v>
      </c>
      <c r="I1834" s="473">
        <f t="shared" si="273"/>
        <v>10000</v>
      </c>
      <c r="J1834" s="473">
        <f t="shared" si="273"/>
        <v>0</v>
      </c>
      <c r="K1834" s="473">
        <f t="shared" si="273"/>
        <v>10000</v>
      </c>
      <c r="L1834" s="167">
        <f t="shared" si="273"/>
        <v>10000</v>
      </c>
      <c r="M1834" s="167">
        <f t="shared" si="273"/>
        <v>0</v>
      </c>
      <c r="N1834" s="167">
        <f t="shared" si="273"/>
        <v>10000</v>
      </c>
      <c r="O1834" s="405"/>
      <c r="P1834" s="405"/>
    </row>
    <row r="1835" spans="1:16" ht="54.75" hidden="1" customHeight="1">
      <c r="A1835" s="273"/>
      <c r="B1835" s="481" t="str">
        <f>B951</f>
        <v>M02A1G1902N</v>
      </c>
      <c r="C1835" s="490" t="str">
        <f t="shared" ref="C1835:N1835" si="274">C951</f>
        <v xml:space="preserve">VIAGEM DE CAMPO DO ICB </v>
      </c>
      <c r="D1835" s="483">
        <f t="shared" si="274"/>
        <v>8100</v>
      </c>
      <c r="E1835" s="484">
        <f t="shared" si="274"/>
        <v>108288</v>
      </c>
      <c r="F1835" s="526" t="str">
        <f t="shared" si="274"/>
        <v>ICB</v>
      </c>
      <c r="G1835" s="488" t="str">
        <f t="shared" si="274"/>
        <v>Alunos Participantes</v>
      </c>
      <c r="H1835" s="489">
        <f t="shared" si="274"/>
        <v>1</v>
      </c>
      <c r="I1835" s="473">
        <f t="shared" si="274"/>
        <v>34392</v>
      </c>
      <c r="J1835" s="473">
        <f t="shared" si="274"/>
        <v>0</v>
      </c>
      <c r="K1835" s="473">
        <f t="shared" si="274"/>
        <v>34392</v>
      </c>
      <c r="L1835" s="167">
        <f t="shared" si="274"/>
        <v>34392</v>
      </c>
      <c r="M1835" s="167">
        <f t="shared" si="274"/>
        <v>0</v>
      </c>
      <c r="N1835" s="167">
        <f t="shared" si="274"/>
        <v>34392</v>
      </c>
      <c r="O1835" s="405"/>
      <c r="P1835" s="405"/>
    </row>
    <row r="1836" spans="1:16" ht="54.75" hidden="1" customHeight="1">
      <c r="A1836" s="273"/>
      <c r="B1836" s="481" t="str">
        <f t="shared" ref="B1836:N1836" si="275">B984</f>
        <v>M02N9G1902N</v>
      </c>
      <c r="C1836" s="490" t="str">
        <f t="shared" si="275"/>
        <v>VIAGEM DE CAMPO - MEDICINA</v>
      </c>
      <c r="D1836" s="483">
        <f t="shared" si="275"/>
        <v>8100</v>
      </c>
      <c r="E1836" s="484">
        <f t="shared" si="275"/>
        <v>108288</v>
      </c>
      <c r="F1836" s="526" t="str">
        <f t="shared" si="275"/>
        <v>ICS</v>
      </c>
      <c r="G1836" s="488" t="str">
        <f t="shared" si="275"/>
        <v>Estudante Beneficiado</v>
      </c>
      <c r="H1836" s="489">
        <f t="shared" si="275"/>
        <v>160</v>
      </c>
      <c r="I1836" s="473">
        <f t="shared" si="275"/>
        <v>120000</v>
      </c>
      <c r="J1836" s="473">
        <f t="shared" si="275"/>
        <v>0</v>
      </c>
      <c r="K1836" s="473">
        <f t="shared" si="275"/>
        <v>120000</v>
      </c>
      <c r="L1836" s="167">
        <f t="shared" si="275"/>
        <v>120000</v>
      </c>
      <c r="M1836" s="167">
        <f t="shared" si="275"/>
        <v>0</v>
      </c>
      <c r="N1836" s="167">
        <f t="shared" si="275"/>
        <v>120000</v>
      </c>
      <c r="O1836" s="405"/>
      <c r="P1836" s="405"/>
    </row>
    <row r="1837" spans="1:16" ht="54.75" hidden="1" customHeight="1">
      <c r="A1837" s="273"/>
      <c r="B1837" s="481" t="str">
        <f t="shared" ref="B1837:N1837" si="276">B1066</f>
        <v>M02A7G1902N</v>
      </c>
      <c r="C1837" s="490" t="str">
        <f t="shared" si="276"/>
        <v>VIAGEM DE CAMPO DA FACULDADE DE GEOGRAFIA E CARTOGRAFIA</v>
      </c>
      <c r="D1837" s="483">
        <f t="shared" si="276"/>
        <v>8100</v>
      </c>
      <c r="E1837" s="484">
        <f t="shared" si="276"/>
        <v>108288</v>
      </c>
      <c r="F1837" s="526" t="str">
        <f t="shared" si="276"/>
        <v>IFCH</v>
      </c>
      <c r="G1837" s="488" t="str">
        <f t="shared" si="276"/>
        <v>Alunos Matriculados</v>
      </c>
      <c r="H1837" s="489">
        <f t="shared" si="276"/>
        <v>1943</v>
      </c>
      <c r="I1837" s="473">
        <f t="shared" si="276"/>
        <v>69470</v>
      </c>
      <c r="J1837" s="473">
        <f t="shared" si="276"/>
        <v>0</v>
      </c>
      <c r="K1837" s="473">
        <f t="shared" si="276"/>
        <v>69470</v>
      </c>
      <c r="L1837" s="167">
        <f t="shared" si="276"/>
        <v>69470</v>
      </c>
      <c r="M1837" s="167">
        <f t="shared" si="276"/>
        <v>0</v>
      </c>
      <c r="N1837" s="167">
        <f t="shared" si="276"/>
        <v>69470</v>
      </c>
      <c r="O1837" s="405"/>
      <c r="P1837" s="405"/>
    </row>
    <row r="1838" spans="1:16" ht="54.75" hidden="1" customHeight="1">
      <c r="A1838" s="273"/>
      <c r="B1838" s="481" t="str">
        <f t="shared" ref="B1838:N1838" si="277">B1082</f>
        <v>M02A1G1902N</v>
      </c>
      <c r="C1838" s="490" t="str">
        <f t="shared" si="277"/>
        <v>VIAGEM DE CAMPO DO IG</v>
      </c>
      <c r="D1838" s="483">
        <f t="shared" si="277"/>
        <v>8100</v>
      </c>
      <c r="E1838" s="484">
        <f t="shared" si="277"/>
        <v>108288</v>
      </c>
      <c r="F1838" s="526" t="str">
        <f t="shared" si="277"/>
        <v>IG</v>
      </c>
      <c r="G1838" s="488" t="str">
        <f t="shared" si="277"/>
        <v>Alunos Atendidos</v>
      </c>
      <c r="H1838" s="489">
        <f t="shared" si="277"/>
        <v>1</v>
      </c>
      <c r="I1838" s="473">
        <f t="shared" si="277"/>
        <v>471747</v>
      </c>
      <c r="J1838" s="473">
        <f t="shared" si="277"/>
        <v>0</v>
      </c>
      <c r="K1838" s="473">
        <f t="shared" si="277"/>
        <v>471747</v>
      </c>
      <c r="L1838" s="167">
        <f t="shared" si="277"/>
        <v>471747</v>
      </c>
      <c r="M1838" s="167">
        <f t="shared" si="277"/>
        <v>0</v>
      </c>
      <c r="N1838" s="167">
        <f t="shared" si="277"/>
        <v>471747</v>
      </c>
      <c r="O1838" s="405"/>
      <c r="P1838" s="405"/>
    </row>
    <row r="1839" spans="1:16" ht="54.75" hidden="1" customHeight="1">
      <c r="A1839" s="273"/>
      <c r="B1839" s="481" t="str">
        <f>B1106</f>
        <v>M0256G9502N</v>
      </c>
      <c r="C1839" s="490" t="str">
        <f t="shared" ref="C1839:K1839" si="278">C1106</f>
        <v>AQUISIÇÃO DE ACERVO BIBLIOGRÁFICO PARA O ILC</v>
      </c>
      <c r="D1839" s="483">
        <f t="shared" si="278"/>
        <v>8100</v>
      </c>
      <c r="E1839" s="484">
        <f t="shared" si="278"/>
        <v>108288</v>
      </c>
      <c r="F1839" s="526" t="str">
        <f t="shared" si="278"/>
        <v>ILC</v>
      </c>
      <c r="G1839" s="488" t="str">
        <f t="shared" si="278"/>
        <v>Aquisição de acervo</v>
      </c>
      <c r="H1839" s="489">
        <f t="shared" si="278"/>
        <v>1</v>
      </c>
      <c r="I1839" s="473">
        <f t="shared" si="278"/>
        <v>0</v>
      </c>
      <c r="J1839" s="473">
        <f t="shared" si="278"/>
        <v>1722</v>
      </c>
      <c r="K1839" s="473">
        <f t="shared" si="278"/>
        <v>1722</v>
      </c>
      <c r="L1839" s="167"/>
      <c r="M1839" s="167"/>
      <c r="N1839" s="167"/>
      <c r="O1839" s="405"/>
      <c r="P1839" s="405"/>
    </row>
    <row r="1840" spans="1:16" ht="54.75" hidden="1" customHeight="1">
      <c r="A1840" s="273"/>
      <c r="B1840" s="481" t="str">
        <f t="shared" ref="B1840:N1841" si="279">B1123</f>
        <v>M02A1G1902N</v>
      </c>
      <c r="C1840" s="490" t="str">
        <f t="shared" si="279"/>
        <v>VIAGEM DE CAMPO DA FACULDADE DE TURISMO</v>
      </c>
      <c r="D1840" s="483">
        <f t="shared" si="279"/>
        <v>8100</v>
      </c>
      <c r="E1840" s="484">
        <f t="shared" si="279"/>
        <v>108288</v>
      </c>
      <c r="F1840" s="526" t="str">
        <f t="shared" si="279"/>
        <v>ICSA</v>
      </c>
      <c r="G1840" s="488" t="str">
        <f t="shared" si="279"/>
        <v>Alunos Atendidos</v>
      </c>
      <c r="H1840" s="489">
        <f t="shared" si="279"/>
        <v>1</v>
      </c>
      <c r="I1840" s="473">
        <f t="shared" si="279"/>
        <v>39245</v>
      </c>
      <c r="J1840" s="473">
        <f t="shared" si="279"/>
        <v>0</v>
      </c>
      <c r="K1840" s="473">
        <f t="shared" si="279"/>
        <v>39245</v>
      </c>
      <c r="L1840" s="167">
        <f t="shared" si="279"/>
        <v>39245</v>
      </c>
      <c r="M1840" s="167">
        <f t="shared" si="279"/>
        <v>0</v>
      </c>
      <c r="N1840" s="167">
        <f t="shared" si="279"/>
        <v>39245</v>
      </c>
      <c r="O1840" s="405"/>
      <c r="P1840" s="405"/>
    </row>
    <row r="1841" spans="1:20" ht="54.75" hidden="1" customHeight="1">
      <c r="A1841" s="273"/>
      <c r="B1841" s="481" t="str">
        <f t="shared" si="279"/>
        <v>M0256G9502N</v>
      </c>
      <c r="C1841" s="490" t="str">
        <f t="shared" si="279"/>
        <v>AQUISIÇÃO DE ACERVO BIBLIOGRÁFICO - ICSA</v>
      </c>
      <c r="D1841" s="483">
        <f t="shared" si="279"/>
        <v>8100</v>
      </c>
      <c r="E1841" s="484">
        <f t="shared" si="279"/>
        <v>108288</v>
      </c>
      <c r="F1841" s="526" t="str">
        <f t="shared" si="279"/>
        <v>ICSA</v>
      </c>
      <c r="G1841" s="488" t="str">
        <f t="shared" si="279"/>
        <v>Aquisição de acervo</v>
      </c>
      <c r="H1841" s="489">
        <f t="shared" si="279"/>
        <v>1</v>
      </c>
      <c r="I1841" s="473">
        <f t="shared" si="279"/>
        <v>0</v>
      </c>
      <c r="J1841" s="473">
        <f t="shared" si="279"/>
        <v>2500</v>
      </c>
      <c r="K1841" s="473">
        <f t="shared" si="279"/>
        <v>2500</v>
      </c>
      <c r="L1841" s="167"/>
      <c r="M1841" s="167"/>
      <c r="N1841" s="167"/>
      <c r="O1841" s="405"/>
      <c r="P1841" s="405"/>
    </row>
    <row r="1842" spans="1:20" ht="54.75" hidden="1" customHeight="1">
      <c r="A1842" s="273"/>
      <c r="B1842" s="481" t="str">
        <f t="shared" ref="B1842:N1842" si="280">B1152</f>
        <v>M02A1G1902N</v>
      </c>
      <c r="C1842" s="490" t="str">
        <f t="shared" si="280"/>
        <v>VISITAS TÉCNICAS DO ITEC</v>
      </c>
      <c r="D1842" s="483">
        <f t="shared" si="280"/>
        <v>8100</v>
      </c>
      <c r="E1842" s="484">
        <f t="shared" si="280"/>
        <v>108288</v>
      </c>
      <c r="F1842" s="526" t="str">
        <f t="shared" si="280"/>
        <v>ITEC</v>
      </c>
      <c r="G1842" s="488" t="str">
        <f t="shared" si="280"/>
        <v>Alunos Atendidos</v>
      </c>
      <c r="H1842" s="489">
        <f t="shared" si="280"/>
        <v>1</v>
      </c>
      <c r="I1842" s="473">
        <f t="shared" si="280"/>
        <v>65081</v>
      </c>
      <c r="J1842" s="473">
        <f t="shared" si="280"/>
        <v>0</v>
      </c>
      <c r="K1842" s="473">
        <f t="shared" si="280"/>
        <v>65081</v>
      </c>
      <c r="L1842" s="167">
        <f t="shared" si="280"/>
        <v>65081</v>
      </c>
      <c r="M1842" s="167">
        <f t="shared" si="280"/>
        <v>0</v>
      </c>
      <c r="N1842" s="167">
        <f t="shared" si="280"/>
        <v>65081</v>
      </c>
      <c r="O1842" s="405"/>
      <c r="P1842" s="405"/>
    </row>
    <row r="1843" spans="1:20" ht="54.75" hidden="1" customHeight="1">
      <c r="A1843" s="273"/>
      <c r="B1843" s="481" t="str">
        <f t="shared" ref="B1843:N1844" si="281">B1220</f>
        <v>M02A1G1902N</v>
      </c>
      <c r="C1843" s="490" t="str">
        <f t="shared" si="281"/>
        <v>VIAGEM DE CAMPO DO IECOS</v>
      </c>
      <c r="D1843" s="483">
        <f t="shared" si="281"/>
        <v>8100</v>
      </c>
      <c r="E1843" s="484">
        <f t="shared" si="281"/>
        <v>108288</v>
      </c>
      <c r="F1843" s="526" t="str">
        <f t="shared" si="281"/>
        <v>IECOS</v>
      </c>
      <c r="G1843" s="488" t="str">
        <f t="shared" si="281"/>
        <v>Alunos Atendidos</v>
      </c>
      <c r="H1843" s="489">
        <f t="shared" si="281"/>
        <v>1</v>
      </c>
      <c r="I1843" s="473">
        <f t="shared" si="281"/>
        <v>95518</v>
      </c>
      <c r="J1843" s="473">
        <f t="shared" si="281"/>
        <v>0</v>
      </c>
      <c r="K1843" s="473">
        <f t="shared" si="281"/>
        <v>95518</v>
      </c>
      <c r="L1843" s="167">
        <f t="shared" si="281"/>
        <v>95518</v>
      </c>
      <c r="M1843" s="167">
        <f t="shared" si="281"/>
        <v>0</v>
      </c>
      <c r="N1843" s="167">
        <f t="shared" si="281"/>
        <v>95518</v>
      </c>
      <c r="O1843" s="405"/>
      <c r="P1843" s="405"/>
    </row>
    <row r="1844" spans="1:20" ht="54.75" hidden="1" customHeight="1">
      <c r="A1844" s="273"/>
      <c r="B1844" s="481" t="str">
        <f t="shared" si="281"/>
        <v>M0256G9502N</v>
      </c>
      <c r="C1844" s="490" t="str">
        <f t="shared" si="281"/>
        <v>AQUISIÇÃO DE ACERVO BIBLIOGRÁFICO - IECOS</v>
      </c>
      <c r="D1844" s="483">
        <f t="shared" si="281"/>
        <v>8100</v>
      </c>
      <c r="E1844" s="484">
        <f t="shared" si="281"/>
        <v>108288</v>
      </c>
      <c r="F1844" s="526" t="str">
        <f t="shared" si="281"/>
        <v>IECOS</v>
      </c>
      <c r="G1844" s="488" t="str">
        <f t="shared" si="281"/>
        <v>Aquisição de acervo</v>
      </c>
      <c r="H1844" s="489">
        <f t="shared" si="281"/>
        <v>1</v>
      </c>
      <c r="I1844" s="473">
        <f t="shared" si="281"/>
        <v>0</v>
      </c>
      <c r="J1844" s="473">
        <f t="shared" si="281"/>
        <v>7500</v>
      </c>
      <c r="K1844" s="473">
        <f t="shared" si="281"/>
        <v>7500</v>
      </c>
      <c r="L1844" s="167"/>
      <c r="M1844" s="167"/>
      <c r="N1844" s="167"/>
      <c r="O1844" s="405"/>
      <c r="P1844" s="405"/>
    </row>
    <row r="1845" spans="1:20" ht="54.75" hidden="1" customHeight="1">
      <c r="A1845" s="273"/>
      <c r="B1845" s="481" t="str">
        <f>B1254</f>
        <v>M0256G9502N</v>
      </c>
      <c r="C1845" s="490" t="str">
        <f t="shared" ref="C1845:K1845" si="282">C1254</f>
        <v>AQUISIÇÃO DE ACERVO BIBLIOGRÁFICO - IEMCI</v>
      </c>
      <c r="D1845" s="483">
        <f t="shared" si="282"/>
        <v>8100</v>
      </c>
      <c r="E1845" s="484">
        <f t="shared" si="282"/>
        <v>108288</v>
      </c>
      <c r="F1845" s="526" t="str">
        <f t="shared" si="282"/>
        <v>IEMCI</v>
      </c>
      <c r="G1845" s="488" t="str">
        <f t="shared" si="282"/>
        <v>Aquisição de acervo</v>
      </c>
      <c r="H1845" s="489">
        <f t="shared" si="282"/>
        <v>1</v>
      </c>
      <c r="I1845" s="473">
        <f t="shared" si="282"/>
        <v>0</v>
      </c>
      <c r="J1845" s="473">
        <f t="shared" si="282"/>
        <v>2500</v>
      </c>
      <c r="K1845" s="473">
        <f t="shared" si="282"/>
        <v>2500</v>
      </c>
      <c r="L1845" s="167"/>
      <c r="M1845" s="167"/>
      <c r="N1845" s="167"/>
      <c r="O1845" s="405"/>
      <c r="P1845" s="405"/>
    </row>
    <row r="1846" spans="1:20" ht="54.75" hidden="1" customHeight="1">
      <c r="A1846" s="527"/>
      <c r="B1846" s="528"/>
      <c r="C1846" s="529"/>
      <c r="D1846" s="530"/>
      <c r="E1846" s="531"/>
      <c r="F1846" s="532"/>
      <c r="G1846" s="533"/>
      <c r="H1846" s="534"/>
      <c r="I1846" s="535"/>
      <c r="J1846" s="535"/>
      <c r="K1846" s="535"/>
      <c r="L1846" s="536"/>
      <c r="M1846" s="536"/>
      <c r="N1846" s="536"/>
      <c r="O1846" s="405"/>
      <c r="P1846" s="405"/>
    </row>
    <row r="1847" spans="1:20" ht="54.75" hidden="1" customHeight="1">
      <c r="A1847" s="527"/>
      <c r="B1847" s="528"/>
      <c r="C1847" s="529"/>
      <c r="D1847" s="530"/>
      <c r="E1847" s="531"/>
      <c r="F1847" s="532"/>
      <c r="G1847" s="533"/>
      <c r="H1847" s="534"/>
      <c r="I1847" s="535"/>
      <c r="J1847" s="535"/>
      <c r="K1847" s="535"/>
      <c r="L1847" s="536"/>
      <c r="M1847" s="536"/>
      <c r="N1847" s="536"/>
      <c r="O1847" s="405"/>
      <c r="P1847" s="405"/>
    </row>
    <row r="1848" spans="1:20" ht="31.5" hidden="1" customHeight="1">
      <c r="A1848" s="27"/>
      <c r="B1848" s="27"/>
      <c r="C1848" s="1204" t="s">
        <v>51</v>
      </c>
      <c r="D1848" s="1204"/>
      <c r="E1848" s="1204"/>
      <c r="F1848" s="1204"/>
      <c r="Q1848" s="620"/>
      <c r="R1848" s="27"/>
      <c r="S1848" s="27"/>
      <c r="T1848" s="27"/>
    </row>
    <row r="1849" spans="1:20" ht="31.5" hidden="1" customHeight="1">
      <c r="A1849" s="27"/>
      <c r="B1849" s="27"/>
      <c r="C1849" s="1204" t="s">
        <v>52</v>
      </c>
      <c r="D1849" s="1204"/>
      <c r="E1849" s="1204"/>
      <c r="F1849" s="1204"/>
      <c r="Q1849" s="620"/>
      <c r="R1849" s="27"/>
      <c r="S1849" s="27"/>
      <c r="T1849" s="27"/>
    </row>
    <row r="1850" spans="1:20" ht="31.5" hidden="1" customHeight="1">
      <c r="A1850" s="27"/>
      <c r="B1850" s="27"/>
      <c r="C1850" s="1204" t="s">
        <v>50</v>
      </c>
      <c r="D1850" s="1204"/>
      <c r="E1850" s="1204"/>
      <c r="F1850" s="1204"/>
      <c r="Q1850" s="620"/>
      <c r="R1850" s="27"/>
      <c r="S1850" s="27"/>
      <c r="T1850" s="27"/>
    </row>
    <row r="1851" spans="1:20" ht="17.100000000000001" hidden="1" customHeight="1">
      <c r="A1851" s="27"/>
      <c r="B1851" s="27"/>
      <c r="C1851" s="427"/>
      <c r="D1851" s="427"/>
      <c r="E1851" s="427"/>
      <c r="F1851" s="427"/>
      <c r="O1851" s="27"/>
      <c r="P1851" s="27"/>
      <c r="Q1851" s="620"/>
      <c r="R1851" s="27"/>
      <c r="S1851" s="27"/>
      <c r="T1851" s="27"/>
    </row>
    <row r="1852" spans="1:20" ht="30" hidden="1" customHeight="1">
      <c r="A1852" s="27"/>
      <c r="B1852" s="27"/>
      <c r="F1852" s="27"/>
      <c r="O1852" s="27"/>
      <c r="P1852" s="27"/>
      <c r="Q1852" s="620"/>
      <c r="R1852" s="27"/>
      <c r="S1852" s="27"/>
      <c r="T1852" s="27"/>
    </row>
    <row r="1853" spans="1:20" ht="30" hidden="1" customHeight="1">
      <c r="A1853" s="349" t="s">
        <v>1060</v>
      </c>
      <c r="B1853" s="1226" t="s">
        <v>1061</v>
      </c>
      <c r="C1853" s="1226"/>
      <c r="D1853" s="1226"/>
      <c r="E1853" s="1226"/>
      <c r="F1853" s="1226"/>
      <c r="G1853" s="1226"/>
      <c r="H1853" s="1226"/>
      <c r="I1853" s="1226"/>
      <c r="J1853" s="1226"/>
      <c r="K1853" s="1226"/>
      <c r="L1853" s="349"/>
      <c r="M1853" s="349"/>
      <c r="N1853" s="349"/>
      <c r="O1853" s="27"/>
      <c r="P1853" s="27"/>
      <c r="Q1853" s="620"/>
      <c r="R1853" s="27"/>
      <c r="S1853" s="27"/>
      <c r="T1853" s="27"/>
    </row>
    <row r="1854" spans="1:20" ht="30" hidden="1" customHeight="1">
      <c r="A1854" s="27"/>
      <c r="B1854" s="27"/>
      <c r="F1854" s="27"/>
      <c r="O1854" s="27"/>
      <c r="P1854" s="27"/>
      <c r="Q1854" s="620"/>
      <c r="R1854" s="27"/>
      <c r="S1854" s="27"/>
      <c r="T1854" s="27"/>
    </row>
    <row r="1855" spans="1:20" ht="30" hidden="1" customHeight="1">
      <c r="A1855" s="355"/>
      <c r="B1855" s="605" t="s">
        <v>351</v>
      </c>
      <c r="C1855" s="355"/>
      <c r="D1855" s="355"/>
      <c r="E1855" s="355"/>
      <c r="F1855" s="355"/>
      <c r="G1855" s="355"/>
      <c r="H1855" s="355"/>
      <c r="I1855" s="355"/>
      <c r="J1855" s="355"/>
      <c r="K1855" s="355"/>
      <c r="L1855" s="355"/>
      <c r="M1855" s="355"/>
      <c r="N1855" s="355"/>
      <c r="O1855" s="27"/>
      <c r="P1855" s="27"/>
      <c r="Q1855" s="620"/>
      <c r="R1855" s="27"/>
      <c r="S1855" s="27"/>
      <c r="T1855" s="27"/>
    </row>
    <row r="1856" spans="1:20" s="500" customFormat="1" ht="90" hidden="1">
      <c r="A1856" s="496" t="s">
        <v>646</v>
      </c>
      <c r="B1856" s="497" t="s">
        <v>1062</v>
      </c>
      <c r="C1856" s="497" t="s">
        <v>37</v>
      </c>
      <c r="D1856" s="497" t="s">
        <v>440</v>
      </c>
      <c r="E1856" s="497" t="s">
        <v>16</v>
      </c>
      <c r="F1856" s="497" t="s">
        <v>185</v>
      </c>
      <c r="G1856" s="497" t="s">
        <v>178</v>
      </c>
      <c r="H1856" s="497" t="s">
        <v>179</v>
      </c>
      <c r="I1856" s="497" t="s">
        <v>180</v>
      </c>
      <c r="J1856" s="497" t="s">
        <v>181</v>
      </c>
      <c r="K1856" s="497" t="s">
        <v>200</v>
      </c>
      <c r="L1856" s="496" t="s">
        <v>180</v>
      </c>
      <c r="M1856" s="496" t="s">
        <v>181</v>
      </c>
      <c r="N1856" s="496" t="s">
        <v>200</v>
      </c>
      <c r="O1856" s="498" t="s">
        <v>200</v>
      </c>
      <c r="P1856" s="498" t="s">
        <v>200</v>
      </c>
      <c r="Q1856" s="622"/>
      <c r="R1856" s="498"/>
      <c r="S1856" s="498"/>
      <c r="T1856" s="499"/>
    </row>
    <row r="1857" spans="1:16" ht="54.75" hidden="1" customHeight="1">
      <c r="A1857" s="273"/>
      <c r="B1857" s="481" t="str">
        <f>B1329</f>
        <v>O0256O9502N</v>
      </c>
      <c r="C1857" s="490" t="str">
        <f t="shared" ref="C1857:K1857" si="283">C1329</f>
        <v>AQUISIÇÃO DE ACERVO BIBLIOGRÁFICO - NDAE</v>
      </c>
      <c r="D1857" s="483">
        <f t="shared" si="283"/>
        <v>8100</v>
      </c>
      <c r="E1857" s="484">
        <f t="shared" si="283"/>
        <v>108288</v>
      </c>
      <c r="F1857" s="526" t="str">
        <f t="shared" si="283"/>
        <v>NDAE</v>
      </c>
      <c r="G1857" s="488" t="str">
        <f t="shared" si="283"/>
        <v>Aquisição de acervo</v>
      </c>
      <c r="H1857" s="489">
        <f t="shared" si="283"/>
        <v>1</v>
      </c>
      <c r="I1857" s="473">
        <f t="shared" si="283"/>
        <v>0</v>
      </c>
      <c r="J1857" s="473">
        <f t="shared" si="283"/>
        <v>1000</v>
      </c>
      <c r="K1857" s="473">
        <f t="shared" si="283"/>
        <v>1000</v>
      </c>
      <c r="L1857" s="167"/>
      <c r="M1857" s="167"/>
      <c r="N1857" s="167"/>
      <c r="O1857" s="405"/>
      <c r="P1857" s="405"/>
    </row>
    <row r="1858" spans="1:16" ht="54.75" hidden="1" customHeight="1">
      <c r="A1858" s="273"/>
      <c r="B1858" s="481" t="str">
        <f>B1374</f>
        <v>O0256O9502N</v>
      </c>
      <c r="C1858" s="490" t="str">
        <f t="shared" ref="C1858:K1858" si="284">C1374</f>
        <v>AQUISIÇÃO DE ACERVO BIBLIOGRÁFICO - NUMA</v>
      </c>
      <c r="D1858" s="483">
        <f t="shared" si="284"/>
        <v>8100</v>
      </c>
      <c r="E1858" s="484">
        <f t="shared" si="284"/>
        <v>108288</v>
      </c>
      <c r="F1858" s="526" t="str">
        <f t="shared" si="284"/>
        <v>NUMA</v>
      </c>
      <c r="G1858" s="488" t="str">
        <f t="shared" si="284"/>
        <v>Aquisição de acervo</v>
      </c>
      <c r="H1858" s="489">
        <f t="shared" si="284"/>
        <v>1</v>
      </c>
      <c r="I1858" s="473">
        <f t="shared" si="284"/>
        <v>0</v>
      </c>
      <c r="J1858" s="473">
        <f t="shared" si="284"/>
        <v>3500</v>
      </c>
      <c r="K1858" s="473">
        <f t="shared" si="284"/>
        <v>3500</v>
      </c>
      <c r="L1858" s="167"/>
      <c r="M1858" s="167"/>
      <c r="N1858" s="167"/>
      <c r="O1858" s="405"/>
      <c r="P1858" s="405"/>
    </row>
    <row r="1859" spans="1:16" ht="54.75" hidden="1" customHeight="1">
      <c r="A1859" s="273"/>
      <c r="B1859" s="481" t="str">
        <f>B1434</f>
        <v>M02A1G1902N</v>
      </c>
      <c r="C1859" s="490" t="str">
        <f t="shared" ref="C1859:K1859" si="285">C1434</f>
        <v>VIAGEM DE CAMPO PARA O CURSO DE EDUCAÇÃO DO CAMPO - ABAETETUBA</v>
      </c>
      <c r="D1859" s="483">
        <f t="shared" si="285"/>
        <v>8100</v>
      </c>
      <c r="E1859" s="484">
        <f t="shared" si="285"/>
        <v>108288</v>
      </c>
      <c r="F1859" s="526" t="str">
        <f t="shared" si="285"/>
        <v>C. ABAETETUBA</v>
      </c>
      <c r="G1859" s="488" t="str">
        <f t="shared" si="285"/>
        <v xml:space="preserve">Alunos Atendidos </v>
      </c>
      <c r="H1859" s="489">
        <f t="shared" si="285"/>
        <v>1</v>
      </c>
      <c r="I1859" s="473">
        <f t="shared" si="285"/>
        <v>59640</v>
      </c>
      <c r="J1859" s="473">
        <f t="shared" si="285"/>
        <v>0</v>
      </c>
      <c r="K1859" s="473">
        <f t="shared" si="285"/>
        <v>59640</v>
      </c>
      <c r="L1859" s="167"/>
      <c r="M1859" s="167"/>
      <c r="N1859" s="167"/>
      <c r="O1859" s="405"/>
      <c r="P1859" s="405"/>
    </row>
    <row r="1860" spans="1:16" ht="54.75" hidden="1" customHeight="1">
      <c r="A1860" s="273"/>
      <c r="B1860" s="481" t="str">
        <f t="shared" ref="B1860:N1865" si="286">B1462</f>
        <v>M02A1G1902N</v>
      </c>
      <c r="C1860" s="490" t="str">
        <f t="shared" si="286"/>
        <v>VIAGEM DE CAMPO PARA COLETA DE MATERIAL BIOLÓGICO E PALEONTOLÓGICO</v>
      </c>
      <c r="D1860" s="483">
        <f t="shared" si="286"/>
        <v>8100</v>
      </c>
      <c r="E1860" s="484">
        <f t="shared" si="286"/>
        <v>108288</v>
      </c>
      <c r="F1860" s="526" t="str">
        <f t="shared" si="286"/>
        <v>C. ALTAMIRA</v>
      </c>
      <c r="G1860" s="488" t="str">
        <f t="shared" si="286"/>
        <v xml:space="preserve">Alunos Atendidos </v>
      </c>
      <c r="H1860" s="489">
        <f t="shared" si="286"/>
        <v>1</v>
      </c>
      <c r="I1860" s="473">
        <f t="shared" si="286"/>
        <v>24368</v>
      </c>
      <c r="J1860" s="473">
        <f t="shared" si="286"/>
        <v>0</v>
      </c>
      <c r="K1860" s="473">
        <f t="shared" si="286"/>
        <v>24368</v>
      </c>
      <c r="L1860" s="167">
        <f t="shared" si="286"/>
        <v>24368</v>
      </c>
      <c r="M1860" s="167">
        <f t="shared" si="286"/>
        <v>0</v>
      </c>
      <c r="N1860" s="167">
        <f t="shared" si="286"/>
        <v>24368</v>
      </c>
      <c r="O1860" s="405"/>
      <c r="P1860" s="405"/>
    </row>
    <row r="1861" spans="1:16" ht="54.75" hidden="1" customHeight="1">
      <c r="A1861" s="273"/>
      <c r="B1861" s="481" t="str">
        <f t="shared" si="286"/>
        <v>M02A2G1902N</v>
      </c>
      <c r="C1861" s="490" t="str">
        <f t="shared" si="286"/>
        <v>VIAGEM DE CAMPO DA FACULDADE DE AGRONOMIA</v>
      </c>
      <c r="D1861" s="483">
        <f t="shared" si="286"/>
        <v>8100</v>
      </c>
      <c r="E1861" s="484">
        <f t="shared" si="286"/>
        <v>108288</v>
      </c>
      <c r="F1861" s="526" t="str">
        <f t="shared" si="286"/>
        <v>C. ALTAMIRA</v>
      </c>
      <c r="G1861" s="488" t="str">
        <f t="shared" si="286"/>
        <v xml:space="preserve">Alunos Atendidos </v>
      </c>
      <c r="H1861" s="489">
        <f t="shared" si="286"/>
        <v>1</v>
      </c>
      <c r="I1861" s="473">
        <f t="shared" si="286"/>
        <v>54180</v>
      </c>
      <c r="J1861" s="473">
        <f t="shared" si="286"/>
        <v>0</v>
      </c>
      <c r="K1861" s="473">
        <f t="shared" si="286"/>
        <v>54180</v>
      </c>
      <c r="L1861" s="167">
        <f t="shared" si="286"/>
        <v>54180</v>
      </c>
      <c r="M1861" s="167">
        <f t="shared" si="286"/>
        <v>0</v>
      </c>
      <c r="N1861" s="167">
        <f t="shared" si="286"/>
        <v>54180</v>
      </c>
      <c r="O1861" s="405"/>
      <c r="P1861" s="405"/>
    </row>
    <row r="1862" spans="1:16" ht="54.75" hidden="1" customHeight="1">
      <c r="A1862" s="273"/>
      <c r="B1862" s="481" t="str">
        <f t="shared" si="286"/>
        <v>M02A3G1902N</v>
      </c>
      <c r="C1862" s="490" t="str">
        <f t="shared" si="286"/>
        <v>VIAGEM DE CAMPO DA FACULDADE DE GEOGRAFIA</v>
      </c>
      <c r="D1862" s="483">
        <f t="shared" si="286"/>
        <v>8100</v>
      </c>
      <c r="E1862" s="484">
        <f t="shared" si="286"/>
        <v>108288</v>
      </c>
      <c r="F1862" s="526" t="str">
        <f t="shared" si="286"/>
        <v>C. ALTAMIRA</v>
      </c>
      <c r="G1862" s="488" t="str">
        <f t="shared" si="286"/>
        <v xml:space="preserve">Alunos Atendidos </v>
      </c>
      <c r="H1862" s="489">
        <f t="shared" si="286"/>
        <v>1</v>
      </c>
      <c r="I1862" s="473">
        <f t="shared" si="286"/>
        <v>11408</v>
      </c>
      <c r="J1862" s="473">
        <f t="shared" si="286"/>
        <v>0</v>
      </c>
      <c r="K1862" s="473">
        <f t="shared" si="286"/>
        <v>11408</v>
      </c>
      <c r="L1862" s="167">
        <f t="shared" si="286"/>
        <v>11408</v>
      </c>
      <c r="M1862" s="167">
        <f t="shared" si="286"/>
        <v>0</v>
      </c>
      <c r="N1862" s="167">
        <f t="shared" si="286"/>
        <v>11408</v>
      </c>
      <c r="O1862" s="405"/>
      <c r="P1862" s="405"/>
    </row>
    <row r="1863" spans="1:16" ht="54.75" hidden="1" customHeight="1">
      <c r="A1863" s="273"/>
      <c r="B1863" s="481" t="str">
        <f t="shared" si="286"/>
        <v>M02A4G1902N</v>
      </c>
      <c r="C1863" s="490" t="str">
        <f t="shared" si="286"/>
        <v>VIAGEM DE CAMPO DA FACULDADE DE ETNODESENVOLVIMENTO</v>
      </c>
      <c r="D1863" s="483">
        <f t="shared" si="286"/>
        <v>8100</v>
      </c>
      <c r="E1863" s="484">
        <f t="shared" si="286"/>
        <v>108288</v>
      </c>
      <c r="F1863" s="526" t="str">
        <f t="shared" si="286"/>
        <v>C. ALTAMIRA</v>
      </c>
      <c r="G1863" s="488" t="str">
        <f t="shared" si="286"/>
        <v xml:space="preserve">Alunos Atendidos </v>
      </c>
      <c r="H1863" s="489">
        <f t="shared" si="286"/>
        <v>1</v>
      </c>
      <c r="I1863" s="473">
        <f t="shared" si="286"/>
        <v>53828</v>
      </c>
      <c r="J1863" s="473">
        <f t="shared" si="286"/>
        <v>0</v>
      </c>
      <c r="K1863" s="473">
        <f t="shared" si="286"/>
        <v>53828</v>
      </c>
      <c r="L1863" s="167">
        <f t="shared" si="286"/>
        <v>53828</v>
      </c>
      <c r="M1863" s="167">
        <f t="shared" si="286"/>
        <v>0</v>
      </c>
      <c r="N1863" s="167">
        <f t="shared" si="286"/>
        <v>53828</v>
      </c>
      <c r="O1863" s="405"/>
      <c r="P1863" s="405"/>
    </row>
    <row r="1864" spans="1:16" ht="54.75" hidden="1" customHeight="1">
      <c r="A1864" s="273"/>
      <c r="B1864" s="481" t="str">
        <f t="shared" si="286"/>
        <v>M02A5G1902N</v>
      </c>
      <c r="C1864" s="490" t="str">
        <f t="shared" si="286"/>
        <v xml:space="preserve">VIAGEM DE CAMPO DA FACULDADE DE ENGENHARIA FLORESTAL </v>
      </c>
      <c r="D1864" s="483">
        <f t="shared" si="286"/>
        <v>8100</v>
      </c>
      <c r="E1864" s="484">
        <f t="shared" si="286"/>
        <v>108288</v>
      </c>
      <c r="F1864" s="526" t="str">
        <f t="shared" si="286"/>
        <v>C. ALTAMIRA</v>
      </c>
      <c r="G1864" s="488" t="str">
        <f t="shared" si="286"/>
        <v xml:space="preserve">Alunos Atendidos </v>
      </c>
      <c r="H1864" s="489">
        <f t="shared" si="286"/>
        <v>1</v>
      </c>
      <c r="I1864" s="473">
        <f t="shared" si="286"/>
        <v>85925</v>
      </c>
      <c r="J1864" s="473">
        <f t="shared" si="286"/>
        <v>0</v>
      </c>
      <c r="K1864" s="473">
        <f t="shared" si="286"/>
        <v>85925</v>
      </c>
      <c r="L1864" s="167">
        <f t="shared" si="286"/>
        <v>85925</v>
      </c>
      <c r="M1864" s="167">
        <f t="shared" si="286"/>
        <v>0</v>
      </c>
      <c r="N1864" s="167">
        <f t="shared" si="286"/>
        <v>85925</v>
      </c>
      <c r="O1864" s="405"/>
      <c r="P1864" s="405"/>
    </row>
    <row r="1865" spans="1:16" ht="54.75" hidden="1" customHeight="1">
      <c r="A1865" s="273"/>
      <c r="B1865" s="481" t="str">
        <f t="shared" si="286"/>
        <v>M02A6G1902N</v>
      </c>
      <c r="C1865" s="490" t="str">
        <f t="shared" si="286"/>
        <v>VIAGEM DE CAMPO DO CURSO DE EDUCAÇÃO DO CAMPO - ALTAMIRA</v>
      </c>
      <c r="D1865" s="483">
        <f t="shared" si="286"/>
        <v>8100</v>
      </c>
      <c r="E1865" s="484">
        <f t="shared" si="286"/>
        <v>108288</v>
      </c>
      <c r="F1865" s="526" t="str">
        <f t="shared" si="286"/>
        <v>C. ALTAMIRA</v>
      </c>
      <c r="G1865" s="488" t="str">
        <f t="shared" si="286"/>
        <v xml:space="preserve">Alunos Atendidos </v>
      </c>
      <c r="H1865" s="489">
        <f t="shared" si="286"/>
        <v>1</v>
      </c>
      <c r="I1865" s="473">
        <f t="shared" si="286"/>
        <v>91180</v>
      </c>
      <c r="J1865" s="473">
        <f t="shared" si="286"/>
        <v>0</v>
      </c>
      <c r="K1865" s="473">
        <f t="shared" si="286"/>
        <v>91180</v>
      </c>
      <c r="L1865" s="167">
        <f t="shared" si="286"/>
        <v>91180</v>
      </c>
      <c r="M1865" s="167">
        <f t="shared" si="286"/>
        <v>0</v>
      </c>
      <c r="N1865" s="167">
        <f t="shared" si="286"/>
        <v>91180</v>
      </c>
      <c r="O1865" s="405"/>
      <c r="P1865" s="405"/>
    </row>
    <row r="1866" spans="1:16" ht="54.75" hidden="1" customHeight="1">
      <c r="A1866" s="273"/>
      <c r="B1866" s="481" t="str">
        <f t="shared" ref="B1866:N1867" si="287">B1511</f>
        <v>M02A1G1902N</v>
      </c>
      <c r="C1866" s="490" t="str">
        <f t="shared" si="287"/>
        <v>VIAGEM DE CAMPO DO CAMPUS DE BRAGANÇA</v>
      </c>
      <c r="D1866" s="483">
        <f t="shared" si="287"/>
        <v>8100</v>
      </c>
      <c r="E1866" s="484">
        <f t="shared" si="287"/>
        <v>108288</v>
      </c>
      <c r="F1866" s="526" t="str">
        <f t="shared" si="287"/>
        <v>C. BRAGANÇA</v>
      </c>
      <c r="G1866" s="488" t="str">
        <f t="shared" si="287"/>
        <v xml:space="preserve">Alunos Atendidos </v>
      </c>
      <c r="H1866" s="489">
        <f t="shared" si="287"/>
        <v>1</v>
      </c>
      <c r="I1866" s="473">
        <f t="shared" si="287"/>
        <v>6000</v>
      </c>
      <c r="J1866" s="473">
        <f t="shared" si="287"/>
        <v>0</v>
      </c>
      <c r="K1866" s="473">
        <f t="shared" si="287"/>
        <v>6000</v>
      </c>
      <c r="L1866" s="167">
        <f t="shared" si="287"/>
        <v>6000</v>
      </c>
      <c r="M1866" s="167">
        <f t="shared" si="287"/>
        <v>0</v>
      </c>
      <c r="N1866" s="167">
        <f t="shared" si="287"/>
        <v>6000</v>
      </c>
      <c r="O1866" s="405"/>
      <c r="P1866" s="405"/>
    </row>
    <row r="1867" spans="1:16" ht="54.75" hidden="1" customHeight="1">
      <c r="A1867" s="273"/>
      <c r="B1867" s="481" t="str">
        <f>B1512</f>
        <v>M0256G9502N</v>
      </c>
      <c r="C1867" s="490" t="str">
        <f t="shared" si="287"/>
        <v>AQUISIÇÃO DE ACERVO BIBLIOGRÁFICO - BRAGANÇA</v>
      </c>
      <c r="D1867" s="483">
        <f t="shared" si="287"/>
        <v>8100</v>
      </c>
      <c r="E1867" s="484">
        <f t="shared" si="287"/>
        <v>108288</v>
      </c>
      <c r="F1867" s="526" t="str">
        <f t="shared" si="287"/>
        <v>C. BRAGANÇA</v>
      </c>
      <c r="G1867" s="488" t="str">
        <f t="shared" si="287"/>
        <v>Aquisição de acervo</v>
      </c>
      <c r="H1867" s="489">
        <f t="shared" si="287"/>
        <v>1</v>
      </c>
      <c r="I1867" s="473">
        <f t="shared" si="287"/>
        <v>0</v>
      </c>
      <c r="J1867" s="473">
        <f t="shared" si="287"/>
        <v>6345</v>
      </c>
      <c r="K1867" s="473">
        <f t="shared" si="287"/>
        <v>6345</v>
      </c>
      <c r="L1867" s="167"/>
      <c r="M1867" s="167"/>
      <c r="N1867" s="167"/>
      <c r="O1867" s="405"/>
      <c r="P1867" s="405"/>
    </row>
    <row r="1868" spans="1:16" ht="54.75" hidden="1" customHeight="1">
      <c r="A1868" s="273"/>
      <c r="B1868" s="481" t="str">
        <f>B1544</f>
        <v>M0256G9502N</v>
      </c>
      <c r="C1868" s="490" t="str">
        <f t="shared" ref="C1868:K1868" si="288">C1544</f>
        <v>AQUISIÇÃO DE ACERVO BIBLIOGRÁFICO - BREVES</v>
      </c>
      <c r="D1868" s="483">
        <f t="shared" si="288"/>
        <v>8100</v>
      </c>
      <c r="E1868" s="484">
        <f t="shared" si="288"/>
        <v>108288</v>
      </c>
      <c r="F1868" s="526" t="str">
        <f t="shared" si="288"/>
        <v>C. BREVES</v>
      </c>
      <c r="G1868" s="488" t="str">
        <f t="shared" si="288"/>
        <v>Aquisição de acervo</v>
      </c>
      <c r="H1868" s="489">
        <f t="shared" si="288"/>
        <v>1</v>
      </c>
      <c r="I1868" s="473">
        <f t="shared" si="288"/>
        <v>0</v>
      </c>
      <c r="J1868" s="473">
        <f t="shared" si="288"/>
        <v>5000</v>
      </c>
      <c r="K1868" s="473">
        <f t="shared" si="288"/>
        <v>5000</v>
      </c>
      <c r="L1868" s="167"/>
      <c r="M1868" s="167"/>
      <c r="N1868" s="167"/>
      <c r="O1868" s="405"/>
      <c r="P1868" s="405"/>
    </row>
    <row r="1869" spans="1:16" ht="54.75" hidden="1" customHeight="1">
      <c r="A1869" s="273"/>
      <c r="B1869" s="481" t="str">
        <f t="shared" ref="B1869:N1871" si="289">B1573</f>
        <v>M02A1G1902N</v>
      </c>
      <c r="C1869" s="490" t="str">
        <f t="shared" si="289"/>
        <v>VIAGENS DE CAMPO DO CAMPUS DE CAMETÁ - AGRONOMIA</v>
      </c>
      <c r="D1869" s="483">
        <f t="shared" si="289"/>
        <v>8100</v>
      </c>
      <c r="E1869" s="484">
        <f t="shared" si="289"/>
        <v>108288</v>
      </c>
      <c r="F1869" s="526" t="str">
        <f t="shared" si="289"/>
        <v>C. CAMETÁ</v>
      </c>
      <c r="G1869" s="488" t="str">
        <f t="shared" si="289"/>
        <v>Alunos Atendidos</v>
      </c>
      <c r="H1869" s="489">
        <f t="shared" si="289"/>
        <v>1</v>
      </c>
      <c r="I1869" s="473">
        <f t="shared" si="289"/>
        <v>41000</v>
      </c>
      <c r="J1869" s="473">
        <f t="shared" si="289"/>
        <v>0</v>
      </c>
      <c r="K1869" s="473">
        <f t="shared" si="289"/>
        <v>41000</v>
      </c>
      <c r="L1869" s="167">
        <f t="shared" si="289"/>
        <v>41000</v>
      </c>
      <c r="M1869" s="167">
        <f t="shared" si="289"/>
        <v>0</v>
      </c>
      <c r="N1869" s="167">
        <f t="shared" si="289"/>
        <v>41000</v>
      </c>
      <c r="O1869" s="405"/>
      <c r="P1869" s="405"/>
    </row>
    <row r="1870" spans="1:16" ht="54.75" hidden="1" customHeight="1">
      <c r="A1870" s="273"/>
      <c r="B1870" s="481" t="str">
        <f t="shared" si="289"/>
        <v>M02F6G1902N</v>
      </c>
      <c r="C1870" s="490" t="str">
        <f t="shared" si="289"/>
        <v>VIAGENS DE CAMPO DO CAMPUS DE CAMETÁ - GEOGRAFIA</v>
      </c>
      <c r="D1870" s="483">
        <f t="shared" si="289"/>
        <v>8100</v>
      </c>
      <c r="E1870" s="484">
        <f t="shared" si="289"/>
        <v>108288</v>
      </c>
      <c r="F1870" s="526" t="str">
        <f t="shared" si="289"/>
        <v>C. CAMETÁ</v>
      </c>
      <c r="G1870" s="488" t="str">
        <f t="shared" si="289"/>
        <v>Alunos Atendidos</v>
      </c>
      <c r="H1870" s="489">
        <f t="shared" si="289"/>
        <v>1</v>
      </c>
      <c r="I1870" s="473">
        <f t="shared" si="289"/>
        <v>41000</v>
      </c>
      <c r="J1870" s="473">
        <f t="shared" si="289"/>
        <v>0</v>
      </c>
      <c r="K1870" s="473">
        <f t="shared" si="289"/>
        <v>41000</v>
      </c>
      <c r="L1870" s="167">
        <f t="shared" si="289"/>
        <v>41000</v>
      </c>
      <c r="M1870" s="167">
        <f t="shared" si="289"/>
        <v>0</v>
      </c>
      <c r="N1870" s="167">
        <f t="shared" si="289"/>
        <v>41000</v>
      </c>
      <c r="O1870" s="405"/>
      <c r="P1870" s="405"/>
    </row>
    <row r="1871" spans="1:16" ht="54.75" hidden="1" customHeight="1">
      <c r="A1871" s="273"/>
      <c r="B1871" s="481" t="str">
        <f>B1575</f>
        <v>M02A8G1902N</v>
      </c>
      <c r="C1871" s="490" t="str">
        <f t="shared" si="289"/>
        <v>VIAGEM DE CAMPO DO CAMPUS DE CAMETÁ - EDUCAÇÃO DO CAMPO</v>
      </c>
      <c r="D1871" s="483">
        <f t="shared" si="289"/>
        <v>8100</v>
      </c>
      <c r="E1871" s="484">
        <f t="shared" si="289"/>
        <v>108288</v>
      </c>
      <c r="F1871" s="526" t="str">
        <f t="shared" si="289"/>
        <v>C. CAMETÁ</v>
      </c>
      <c r="G1871" s="488" t="str">
        <f t="shared" si="289"/>
        <v>Alunos Atendidos</v>
      </c>
      <c r="H1871" s="489">
        <f t="shared" si="289"/>
        <v>1</v>
      </c>
      <c r="I1871" s="473">
        <f t="shared" si="289"/>
        <v>90000</v>
      </c>
      <c r="J1871" s="473">
        <f t="shared" si="289"/>
        <v>0</v>
      </c>
      <c r="K1871" s="473">
        <f t="shared" si="289"/>
        <v>90000</v>
      </c>
      <c r="L1871" s="167"/>
      <c r="M1871" s="167"/>
      <c r="N1871" s="167"/>
      <c r="O1871" s="405"/>
      <c r="P1871" s="405"/>
    </row>
    <row r="1872" spans="1:16" ht="54.75" hidden="1" customHeight="1">
      <c r="A1872" s="273"/>
      <c r="B1872" s="481" t="str">
        <f t="shared" ref="B1872:N1873" si="290">B1616</f>
        <v>M02A1G1902N</v>
      </c>
      <c r="C1872" s="490" t="str">
        <f t="shared" si="290"/>
        <v>VIAGENS DE CAMPO DO CAMPUS DE CASTANHAL</v>
      </c>
      <c r="D1872" s="483">
        <f t="shared" si="290"/>
        <v>8100</v>
      </c>
      <c r="E1872" s="484">
        <f t="shared" si="290"/>
        <v>108288</v>
      </c>
      <c r="F1872" s="526" t="str">
        <f t="shared" si="290"/>
        <v>C. CASTANHAL</v>
      </c>
      <c r="G1872" s="488" t="str">
        <f t="shared" si="290"/>
        <v>Alunos Atendidos</v>
      </c>
      <c r="H1872" s="489">
        <f t="shared" si="290"/>
        <v>1</v>
      </c>
      <c r="I1872" s="473">
        <f t="shared" si="290"/>
        <v>84699</v>
      </c>
      <c r="J1872" s="473">
        <f t="shared" si="290"/>
        <v>0</v>
      </c>
      <c r="K1872" s="473">
        <f t="shared" si="290"/>
        <v>84699</v>
      </c>
      <c r="L1872" s="167">
        <f t="shared" si="290"/>
        <v>84699</v>
      </c>
      <c r="M1872" s="167">
        <f t="shared" si="290"/>
        <v>0</v>
      </c>
      <c r="N1872" s="167">
        <f t="shared" si="290"/>
        <v>84699</v>
      </c>
      <c r="O1872" s="405"/>
      <c r="P1872" s="405"/>
    </row>
    <row r="1873" spans="1:20" ht="54.75" hidden="1" customHeight="1">
      <c r="A1873" s="273"/>
      <c r="B1873" s="481" t="str">
        <f t="shared" si="290"/>
        <v>M0256G9502N</v>
      </c>
      <c r="C1873" s="490" t="str">
        <f t="shared" si="290"/>
        <v>AQUISIÇÃO DE ACERVO BIBLIOGRÁFICO - CASTANHAL</v>
      </c>
      <c r="D1873" s="483">
        <f t="shared" si="290"/>
        <v>8100</v>
      </c>
      <c r="E1873" s="484">
        <f t="shared" si="290"/>
        <v>108288</v>
      </c>
      <c r="F1873" s="526" t="str">
        <f t="shared" si="290"/>
        <v>C. CASTANHAL</v>
      </c>
      <c r="G1873" s="488" t="str">
        <f t="shared" si="290"/>
        <v>Aquisição de Acervo</v>
      </c>
      <c r="H1873" s="489">
        <f t="shared" si="290"/>
        <v>1</v>
      </c>
      <c r="I1873" s="473">
        <f t="shared" si="290"/>
        <v>0</v>
      </c>
      <c r="J1873" s="473">
        <f t="shared" si="290"/>
        <v>5343</v>
      </c>
      <c r="K1873" s="473">
        <f t="shared" si="290"/>
        <v>5343</v>
      </c>
      <c r="L1873" s="167">
        <f t="shared" si="290"/>
        <v>0</v>
      </c>
      <c r="M1873" s="167">
        <f t="shared" si="290"/>
        <v>5343</v>
      </c>
      <c r="N1873" s="167">
        <f t="shared" si="290"/>
        <v>5343</v>
      </c>
      <c r="O1873" s="405"/>
      <c r="P1873" s="405"/>
    </row>
    <row r="1874" spans="1:20" s="472" customFormat="1" ht="45" hidden="1" customHeight="1">
      <c r="A1874" s="478" t="s">
        <v>200</v>
      </c>
      <c r="B1874" s="1263" t="s">
        <v>200</v>
      </c>
      <c r="C1874" s="1264"/>
      <c r="D1874" s="1264"/>
      <c r="E1874" s="1264"/>
      <c r="F1874" s="1264"/>
      <c r="G1874" s="1264"/>
      <c r="H1874" s="1265"/>
      <c r="I1874" s="479">
        <f>SUM(I1857:I1873)+SUM(I1818:I1845)</f>
        <v>6248069</v>
      </c>
      <c r="J1874" s="479">
        <f>SUM(J1857:J1873)+SUM(J1818:J1845)</f>
        <v>2035410</v>
      </c>
      <c r="K1874" s="479">
        <f>I1874+J1874</f>
        <v>8283479</v>
      </c>
      <c r="L1874" s="480">
        <f>SUM(L1818:L1872)</f>
        <v>6098429</v>
      </c>
      <c r="M1874" s="480">
        <f>SUM(M1818:M1872)</f>
        <v>2000000</v>
      </c>
      <c r="N1874" s="480">
        <f>SUM(N1818:N1872)</f>
        <v>8098429</v>
      </c>
      <c r="O1874" s="470">
        <f>N108</f>
        <v>8286479</v>
      </c>
      <c r="P1874" s="470">
        <f>N1874-O1874</f>
        <v>-188050</v>
      </c>
      <c r="Q1874" s="622"/>
      <c r="R1874" s="470"/>
      <c r="S1874" s="470"/>
      <c r="T1874" s="471"/>
    </row>
    <row r="1875" spans="1:20" ht="17.100000000000001" hidden="1" customHeight="1">
      <c r="P1875" s="27"/>
      <c r="Q1875" s="620"/>
      <c r="R1875" s="27"/>
      <c r="S1875" s="27"/>
      <c r="T1875" s="27"/>
    </row>
    <row r="1876" spans="1:20" ht="17.100000000000001" hidden="1" customHeight="1">
      <c r="P1876" s="27"/>
      <c r="Q1876" s="620"/>
      <c r="R1876" s="27"/>
      <c r="S1876" s="27"/>
      <c r="T1876" s="27"/>
    </row>
    <row r="1877" spans="1:20" ht="21.95" hidden="1" customHeight="1">
      <c r="P1877" s="27"/>
      <c r="Q1877" s="620"/>
      <c r="R1877" s="27"/>
      <c r="S1877" s="27"/>
      <c r="T1877" s="27"/>
    </row>
    <row r="1878" spans="1:20" ht="27.75" hidden="1" customHeight="1">
      <c r="A1878" s="27"/>
      <c r="B1878" s="27"/>
      <c r="C1878" s="1204" t="s">
        <v>51</v>
      </c>
      <c r="D1878" s="1204"/>
      <c r="E1878" s="1204"/>
      <c r="F1878" s="1204"/>
      <c r="P1878" s="27"/>
      <c r="Q1878" s="620"/>
      <c r="R1878" s="27"/>
      <c r="S1878" s="27"/>
      <c r="T1878" s="27"/>
    </row>
    <row r="1879" spans="1:20" ht="27.75" hidden="1" customHeight="1">
      <c r="A1879" s="27"/>
      <c r="B1879" s="27"/>
      <c r="C1879" s="1204" t="s">
        <v>52</v>
      </c>
      <c r="D1879" s="1204"/>
      <c r="E1879" s="1204"/>
      <c r="F1879" s="1204"/>
      <c r="P1879" s="27"/>
      <c r="Q1879" s="620"/>
      <c r="R1879" s="27"/>
      <c r="S1879" s="27"/>
      <c r="T1879" s="27"/>
    </row>
    <row r="1880" spans="1:20" ht="27.75" hidden="1" customHeight="1">
      <c r="A1880" s="27"/>
      <c r="B1880" s="27"/>
      <c r="C1880" s="1204" t="s">
        <v>50</v>
      </c>
      <c r="D1880" s="1204"/>
      <c r="E1880" s="1204"/>
      <c r="F1880" s="1204"/>
      <c r="O1880" s="27"/>
      <c r="P1880" s="27"/>
      <c r="Q1880" s="620"/>
      <c r="R1880" s="27"/>
      <c r="S1880" s="27"/>
      <c r="T1880" s="27"/>
    </row>
    <row r="1881" spans="1:20" ht="21.95" hidden="1" customHeight="1">
      <c r="A1881" s="27"/>
      <c r="B1881" s="27"/>
      <c r="E1881" s="27" t="s">
        <v>768</v>
      </c>
      <c r="F1881" s="27"/>
      <c r="O1881" s="27"/>
      <c r="P1881" s="27"/>
      <c r="Q1881" s="620"/>
      <c r="R1881" s="27"/>
      <c r="S1881" s="27"/>
      <c r="T1881" s="27"/>
    </row>
    <row r="1882" spans="1:20" ht="24.95" hidden="1" customHeight="1">
      <c r="A1882" s="27"/>
      <c r="B1882" s="27"/>
      <c r="F1882" s="27"/>
      <c r="O1882" s="27"/>
      <c r="P1882" s="27"/>
      <c r="Q1882" s="620"/>
      <c r="R1882" s="27"/>
      <c r="S1882" s="27"/>
      <c r="T1882" s="27"/>
    </row>
    <row r="1883" spans="1:20" ht="30" hidden="1" customHeight="1">
      <c r="A1883" s="349" t="s">
        <v>1060</v>
      </c>
      <c r="B1883" s="1226" t="s">
        <v>1061</v>
      </c>
      <c r="C1883" s="1226"/>
      <c r="D1883" s="1226"/>
      <c r="E1883" s="1226"/>
      <c r="F1883" s="1226"/>
      <c r="G1883" s="1226"/>
      <c r="H1883" s="1226"/>
      <c r="I1883" s="1226"/>
      <c r="J1883" s="1226"/>
      <c r="K1883" s="1226"/>
      <c r="L1883" s="349"/>
      <c r="M1883" s="349"/>
      <c r="N1883" s="349"/>
      <c r="O1883" s="27"/>
      <c r="P1883" s="27"/>
      <c r="Q1883" s="620"/>
      <c r="R1883" s="27"/>
      <c r="S1883" s="27"/>
      <c r="T1883" s="27"/>
    </row>
    <row r="1884" spans="1:20" ht="24.95" hidden="1" customHeight="1">
      <c r="A1884" s="27"/>
      <c r="B1884" s="27"/>
      <c r="F1884" s="27"/>
      <c r="O1884" s="27"/>
      <c r="P1884" s="27"/>
      <c r="Q1884" s="620"/>
      <c r="R1884" s="27"/>
      <c r="S1884" s="27"/>
      <c r="T1884" s="27"/>
    </row>
    <row r="1885" spans="1:20" ht="30" hidden="1" customHeight="1">
      <c r="A1885" s="27"/>
      <c r="B1885" s="27"/>
      <c r="F1885" s="27"/>
      <c r="O1885" s="27"/>
      <c r="P1885" s="27"/>
      <c r="Q1885" s="620"/>
      <c r="R1885" s="27"/>
      <c r="S1885" s="27"/>
      <c r="T1885" s="27"/>
    </row>
    <row r="1886" spans="1:20" ht="31.5" hidden="1" customHeight="1">
      <c r="A1886" s="356"/>
      <c r="B1886" s="605" t="s">
        <v>352</v>
      </c>
      <c r="C1886" s="356"/>
      <c r="D1886" s="356"/>
      <c r="E1886" s="356"/>
      <c r="F1886" s="356"/>
      <c r="G1886" s="356"/>
      <c r="H1886" s="356"/>
      <c r="I1886" s="356"/>
      <c r="J1886" s="356"/>
      <c r="K1886" s="356"/>
      <c r="L1886" s="356"/>
      <c r="M1886" s="356"/>
      <c r="N1886" s="356"/>
      <c r="O1886" s="27"/>
      <c r="P1886" s="27"/>
      <c r="Q1886" s="620"/>
      <c r="R1886" s="27"/>
      <c r="S1886" s="27"/>
      <c r="T1886" s="27"/>
    </row>
    <row r="1887" spans="1:20" s="500" customFormat="1" ht="90" hidden="1">
      <c r="A1887" s="496" t="s">
        <v>646</v>
      </c>
      <c r="B1887" s="497" t="s">
        <v>1062</v>
      </c>
      <c r="C1887" s="497" t="s">
        <v>37</v>
      </c>
      <c r="D1887" s="497" t="s">
        <v>440</v>
      </c>
      <c r="E1887" s="497" t="s">
        <v>16</v>
      </c>
      <c r="F1887" s="497" t="s">
        <v>185</v>
      </c>
      <c r="G1887" s="497" t="s">
        <v>178</v>
      </c>
      <c r="H1887" s="497" t="s">
        <v>179</v>
      </c>
      <c r="I1887" s="497" t="s">
        <v>180</v>
      </c>
      <c r="J1887" s="497" t="s">
        <v>181</v>
      </c>
      <c r="K1887" s="497" t="s">
        <v>200</v>
      </c>
      <c r="L1887" s="496" t="s">
        <v>180</v>
      </c>
      <c r="M1887" s="496" t="s">
        <v>181</v>
      </c>
      <c r="N1887" s="496" t="s">
        <v>200</v>
      </c>
      <c r="O1887" s="498" t="s">
        <v>200</v>
      </c>
      <c r="P1887" s="498" t="s">
        <v>200</v>
      </c>
      <c r="Q1887" s="622"/>
      <c r="R1887" s="498"/>
      <c r="S1887" s="498"/>
      <c r="T1887" s="499"/>
    </row>
    <row r="1888" spans="1:20" ht="54.75" hidden="1" customHeight="1">
      <c r="A1888" s="273"/>
      <c r="B1888" s="481" t="str">
        <f t="shared" ref="B1888:N1888" si="291">B953</f>
        <v>M0301G1901N</v>
      </c>
      <c r="C1888" s="490" t="str">
        <f t="shared" si="291"/>
        <v>FUNCIONAMENTO DAS UNIDADES ACADÊMICAS</v>
      </c>
      <c r="D1888" s="483">
        <f t="shared" si="291"/>
        <v>8100</v>
      </c>
      <c r="E1888" s="484">
        <f t="shared" si="291"/>
        <v>108288</v>
      </c>
      <c r="F1888" s="526" t="str">
        <f t="shared" si="291"/>
        <v>ICB</v>
      </c>
      <c r="G1888" s="488" t="str">
        <f t="shared" si="291"/>
        <v>Alunos Matriculados</v>
      </c>
      <c r="H1888" s="489">
        <f t="shared" si="291"/>
        <v>797</v>
      </c>
      <c r="I1888" s="473">
        <f t="shared" si="291"/>
        <v>551738</v>
      </c>
      <c r="J1888" s="473">
        <f t="shared" si="291"/>
        <v>0</v>
      </c>
      <c r="K1888" s="473">
        <f t="shared" si="291"/>
        <v>551738</v>
      </c>
      <c r="L1888" s="167">
        <f t="shared" si="291"/>
        <v>551738</v>
      </c>
      <c r="M1888" s="167">
        <f t="shared" si="291"/>
        <v>0</v>
      </c>
      <c r="N1888" s="167">
        <f t="shared" si="291"/>
        <v>551738</v>
      </c>
      <c r="O1888" s="405"/>
      <c r="P1888" s="405"/>
    </row>
    <row r="1889" spans="1:16" ht="54.75" hidden="1" customHeight="1">
      <c r="A1889" s="273"/>
      <c r="B1889" s="481" t="str">
        <f>B986</f>
        <v>M0301G1901N</v>
      </c>
      <c r="C1889" s="490" t="str">
        <f t="shared" ref="C1889:N1889" si="292">C986</f>
        <v>FUNCIONAMENTO DAS UNIDADES ACADÊMICAS</v>
      </c>
      <c r="D1889" s="483">
        <f t="shared" si="292"/>
        <v>8100</v>
      </c>
      <c r="E1889" s="484">
        <f t="shared" si="292"/>
        <v>108288</v>
      </c>
      <c r="F1889" s="526" t="str">
        <f t="shared" si="292"/>
        <v>ICS</v>
      </c>
      <c r="G1889" s="488" t="str">
        <f t="shared" si="292"/>
        <v>Alunos Matriculados</v>
      </c>
      <c r="H1889" s="489">
        <f t="shared" si="292"/>
        <v>2849</v>
      </c>
      <c r="I1889" s="473">
        <f t="shared" si="292"/>
        <v>683486</v>
      </c>
      <c r="J1889" s="473">
        <f t="shared" si="292"/>
        <v>0</v>
      </c>
      <c r="K1889" s="473">
        <f t="shared" si="292"/>
        <v>683486</v>
      </c>
      <c r="L1889" s="167">
        <f t="shared" si="292"/>
        <v>683486</v>
      </c>
      <c r="M1889" s="167">
        <f t="shared" si="292"/>
        <v>0</v>
      </c>
      <c r="N1889" s="167">
        <f t="shared" si="292"/>
        <v>683486</v>
      </c>
      <c r="O1889" s="405"/>
      <c r="P1889" s="405"/>
    </row>
    <row r="1890" spans="1:16" ht="54.75" hidden="1" customHeight="1">
      <c r="A1890" s="273"/>
      <c r="B1890" s="481" t="str">
        <f>B998</f>
        <v>M0301G1901N</v>
      </c>
      <c r="C1890" s="490" t="str">
        <f t="shared" ref="C1890:N1890" si="293">C998</f>
        <v>FUNCIONAMENTO DAS UNIDADES ACADÊMICAS</v>
      </c>
      <c r="D1890" s="483">
        <f t="shared" si="293"/>
        <v>8100</v>
      </c>
      <c r="E1890" s="484">
        <f t="shared" si="293"/>
        <v>108288</v>
      </c>
      <c r="F1890" s="526" t="str">
        <f t="shared" si="293"/>
        <v>ICEN</v>
      </c>
      <c r="G1890" s="488" t="str">
        <f t="shared" si="293"/>
        <v>Alunos Matriculados</v>
      </c>
      <c r="H1890" s="489">
        <f t="shared" si="293"/>
        <v>2069</v>
      </c>
      <c r="I1890" s="473">
        <f t="shared" si="293"/>
        <v>453414</v>
      </c>
      <c r="J1890" s="473">
        <f t="shared" si="293"/>
        <v>0</v>
      </c>
      <c r="K1890" s="473">
        <f t="shared" si="293"/>
        <v>453414</v>
      </c>
      <c r="L1890" s="167">
        <f t="shared" si="293"/>
        <v>453414</v>
      </c>
      <c r="M1890" s="167">
        <f t="shared" si="293"/>
        <v>0</v>
      </c>
      <c r="N1890" s="167">
        <f t="shared" si="293"/>
        <v>453414</v>
      </c>
      <c r="O1890" s="405"/>
      <c r="P1890" s="405"/>
    </row>
    <row r="1891" spans="1:16" ht="54.75" hidden="1" customHeight="1">
      <c r="A1891" s="273"/>
      <c r="B1891" s="481" t="str">
        <f>B1024</f>
        <v>M0301G1901N</v>
      </c>
      <c r="C1891" s="490" t="str">
        <f t="shared" ref="C1891:N1891" si="294">C1024</f>
        <v>FUNCIONAMENTO DAS UNIDADES ACADÊMICAS</v>
      </c>
      <c r="D1891" s="483">
        <f t="shared" si="294"/>
        <v>8100</v>
      </c>
      <c r="E1891" s="484">
        <f t="shared" si="294"/>
        <v>108288</v>
      </c>
      <c r="F1891" s="526" t="str">
        <f t="shared" si="294"/>
        <v>ICJ</v>
      </c>
      <c r="G1891" s="488" t="str">
        <f t="shared" si="294"/>
        <v>Alunos Matriculados</v>
      </c>
      <c r="H1891" s="489">
        <f t="shared" si="294"/>
        <v>1077</v>
      </c>
      <c r="I1891" s="473">
        <f t="shared" si="294"/>
        <v>146433</v>
      </c>
      <c r="J1891" s="473">
        <f t="shared" si="294"/>
        <v>0</v>
      </c>
      <c r="K1891" s="473">
        <f t="shared" si="294"/>
        <v>146433</v>
      </c>
      <c r="L1891" s="167">
        <f t="shared" si="294"/>
        <v>146433</v>
      </c>
      <c r="M1891" s="167">
        <f t="shared" si="294"/>
        <v>0</v>
      </c>
      <c r="N1891" s="167">
        <f t="shared" si="294"/>
        <v>146433</v>
      </c>
      <c r="O1891" s="405"/>
      <c r="P1891" s="405"/>
    </row>
    <row r="1892" spans="1:16" ht="54.75" hidden="1" customHeight="1">
      <c r="A1892" s="273"/>
      <c r="B1892" s="481" t="str">
        <f>B1037</f>
        <v>M0301G1901N</v>
      </c>
      <c r="C1892" s="490" t="str">
        <f t="shared" ref="C1892:N1892" si="295">C1037</f>
        <v>FUNCIONAMENTO DAS UNIDADES ACADÊMICAS</v>
      </c>
      <c r="D1892" s="483">
        <f t="shared" si="295"/>
        <v>8100</v>
      </c>
      <c r="E1892" s="484">
        <f t="shared" si="295"/>
        <v>108288</v>
      </c>
      <c r="F1892" s="526" t="str">
        <f t="shared" si="295"/>
        <v>ICED</v>
      </c>
      <c r="G1892" s="488" t="str">
        <f t="shared" si="295"/>
        <v>Alunos Matriculados</v>
      </c>
      <c r="H1892" s="489">
        <f t="shared" si="295"/>
        <v>1443</v>
      </c>
      <c r="I1892" s="473">
        <f t="shared" si="295"/>
        <v>348629</v>
      </c>
      <c r="J1892" s="473">
        <f t="shared" si="295"/>
        <v>0</v>
      </c>
      <c r="K1892" s="473">
        <f t="shared" si="295"/>
        <v>348629</v>
      </c>
      <c r="L1892" s="167">
        <f t="shared" si="295"/>
        <v>348629</v>
      </c>
      <c r="M1892" s="167">
        <f t="shared" si="295"/>
        <v>0</v>
      </c>
      <c r="N1892" s="167">
        <f t="shared" si="295"/>
        <v>348629</v>
      </c>
      <c r="O1892" s="405"/>
      <c r="P1892" s="405"/>
    </row>
    <row r="1893" spans="1:16" ht="54.75" hidden="1" customHeight="1">
      <c r="A1893" s="273"/>
      <c r="B1893" s="481" t="str">
        <f>B1068</f>
        <v>M0301G1901N</v>
      </c>
      <c r="C1893" s="490" t="str">
        <f t="shared" ref="C1893:N1893" si="296">C1068</f>
        <v>FUNCIONAMENTO DAS UNIDADES ACADÊMICAS</v>
      </c>
      <c r="D1893" s="483">
        <f t="shared" si="296"/>
        <v>8100</v>
      </c>
      <c r="E1893" s="484">
        <f t="shared" si="296"/>
        <v>108288</v>
      </c>
      <c r="F1893" s="526" t="str">
        <f t="shared" si="296"/>
        <v>IFCH</v>
      </c>
      <c r="G1893" s="488" t="str">
        <f t="shared" si="296"/>
        <v>Alunos Matriculados</v>
      </c>
      <c r="H1893" s="489">
        <f t="shared" si="296"/>
        <v>1943</v>
      </c>
      <c r="I1893" s="473">
        <f t="shared" si="296"/>
        <v>347861</v>
      </c>
      <c r="J1893" s="473">
        <f t="shared" si="296"/>
        <v>0</v>
      </c>
      <c r="K1893" s="473">
        <f t="shared" si="296"/>
        <v>347861</v>
      </c>
      <c r="L1893" s="167">
        <f t="shared" si="296"/>
        <v>347861</v>
      </c>
      <c r="M1893" s="167">
        <f t="shared" si="296"/>
        <v>0</v>
      </c>
      <c r="N1893" s="167">
        <f t="shared" si="296"/>
        <v>347861</v>
      </c>
      <c r="O1893" s="405"/>
      <c r="P1893" s="405"/>
    </row>
    <row r="1894" spans="1:16" ht="54.75" hidden="1" customHeight="1">
      <c r="A1894" s="273"/>
      <c r="B1894" s="481" t="str">
        <f>B1084</f>
        <v>M0301G1901N</v>
      </c>
      <c r="C1894" s="490" t="str">
        <f t="shared" ref="C1894:N1894" si="297">C1084</f>
        <v>FUNCIONAMENTO DAS UNIDADES ACADÊMICAS</v>
      </c>
      <c r="D1894" s="483">
        <f t="shared" si="297"/>
        <v>8100</v>
      </c>
      <c r="E1894" s="484">
        <f t="shared" si="297"/>
        <v>108288</v>
      </c>
      <c r="F1894" s="526" t="str">
        <f t="shared" si="297"/>
        <v>IG</v>
      </c>
      <c r="G1894" s="488" t="str">
        <f t="shared" si="297"/>
        <v>Alunos Matriculados</v>
      </c>
      <c r="H1894" s="489">
        <f t="shared" si="297"/>
        <v>641</v>
      </c>
      <c r="I1894" s="473">
        <f t="shared" si="297"/>
        <v>234335</v>
      </c>
      <c r="J1894" s="473">
        <f t="shared" si="297"/>
        <v>0</v>
      </c>
      <c r="K1894" s="473">
        <f t="shared" si="297"/>
        <v>234335</v>
      </c>
      <c r="L1894" s="167">
        <f t="shared" si="297"/>
        <v>234335</v>
      </c>
      <c r="M1894" s="167">
        <f t="shared" si="297"/>
        <v>0</v>
      </c>
      <c r="N1894" s="167">
        <f t="shared" si="297"/>
        <v>234335</v>
      </c>
      <c r="O1894" s="405"/>
      <c r="P1894" s="405"/>
    </row>
    <row r="1895" spans="1:16" ht="54.75" hidden="1" customHeight="1">
      <c r="A1895" s="273"/>
      <c r="B1895" s="481" t="str">
        <f>B1108</f>
        <v>M0301G1901N</v>
      </c>
      <c r="C1895" s="490" t="str">
        <f t="shared" ref="C1895:N1895" si="298">C1108</f>
        <v>FUNCIONAMENTO DAS UNIDADES ACADÊMICAS</v>
      </c>
      <c r="D1895" s="483">
        <f t="shared" si="298"/>
        <v>8100</v>
      </c>
      <c r="E1895" s="484">
        <f t="shared" si="298"/>
        <v>108288</v>
      </c>
      <c r="F1895" s="526" t="str">
        <f t="shared" si="298"/>
        <v>ILC</v>
      </c>
      <c r="G1895" s="488" t="str">
        <f t="shared" si="298"/>
        <v>Alunos Matriculados</v>
      </c>
      <c r="H1895" s="489">
        <f t="shared" si="298"/>
        <v>1492</v>
      </c>
      <c r="I1895" s="473">
        <f t="shared" si="298"/>
        <v>234779</v>
      </c>
      <c r="J1895" s="473">
        <f t="shared" si="298"/>
        <v>0</v>
      </c>
      <c r="K1895" s="473">
        <f t="shared" si="298"/>
        <v>234779</v>
      </c>
      <c r="L1895" s="167">
        <f t="shared" si="298"/>
        <v>234779</v>
      </c>
      <c r="M1895" s="167">
        <f t="shared" si="298"/>
        <v>0</v>
      </c>
      <c r="N1895" s="167">
        <f t="shared" si="298"/>
        <v>234779</v>
      </c>
      <c r="O1895" s="405"/>
      <c r="P1895" s="405"/>
    </row>
    <row r="1896" spans="1:16" ht="54.75" hidden="1" customHeight="1">
      <c r="A1896" s="273"/>
      <c r="B1896" s="481" t="str">
        <f>B1126</f>
        <v>M0301G1901N</v>
      </c>
      <c r="C1896" s="490" t="str">
        <f t="shared" ref="C1896:N1896" si="299">C1126</f>
        <v>FUNCIONAMENTO DAS UNIDADES ACADÊMICAS</v>
      </c>
      <c r="D1896" s="483">
        <f t="shared" si="299"/>
        <v>8100</v>
      </c>
      <c r="E1896" s="484">
        <f t="shared" si="299"/>
        <v>108288</v>
      </c>
      <c r="F1896" s="526" t="str">
        <f t="shared" si="299"/>
        <v>ICSA</v>
      </c>
      <c r="G1896" s="488" t="str">
        <f t="shared" si="299"/>
        <v>Alunos Matriculados</v>
      </c>
      <c r="H1896" s="489">
        <f t="shared" si="299"/>
        <v>3019</v>
      </c>
      <c r="I1896" s="473">
        <f t="shared" si="299"/>
        <v>301288</v>
      </c>
      <c r="J1896" s="473">
        <f t="shared" si="299"/>
        <v>0</v>
      </c>
      <c r="K1896" s="473">
        <f t="shared" si="299"/>
        <v>301288</v>
      </c>
      <c r="L1896" s="167">
        <f t="shared" si="299"/>
        <v>301288</v>
      </c>
      <c r="M1896" s="167">
        <f t="shared" si="299"/>
        <v>0</v>
      </c>
      <c r="N1896" s="167">
        <f t="shared" si="299"/>
        <v>301288</v>
      </c>
      <c r="O1896" s="405"/>
      <c r="P1896" s="405"/>
    </row>
    <row r="1897" spans="1:16" ht="54.75" hidden="1" customHeight="1">
      <c r="A1897" s="273"/>
      <c r="B1897" s="481" t="str">
        <f>B1154</f>
        <v>M0301G1901N</v>
      </c>
      <c r="C1897" s="490" t="str">
        <f t="shared" ref="C1897:N1897" si="300">C1154</f>
        <v>FUNCIONAMENTO DAS UNIDADES ACADÊMICAS</v>
      </c>
      <c r="D1897" s="483">
        <f t="shared" si="300"/>
        <v>8100</v>
      </c>
      <c r="E1897" s="484">
        <f t="shared" si="300"/>
        <v>108288</v>
      </c>
      <c r="F1897" s="526" t="str">
        <f t="shared" si="300"/>
        <v>ITEC</v>
      </c>
      <c r="G1897" s="488" t="str">
        <f t="shared" si="300"/>
        <v>Alunos Matriculados</v>
      </c>
      <c r="H1897" s="489">
        <f t="shared" si="300"/>
        <v>3560</v>
      </c>
      <c r="I1897" s="473">
        <f t="shared" si="300"/>
        <v>587530</v>
      </c>
      <c r="J1897" s="473">
        <f t="shared" si="300"/>
        <v>0</v>
      </c>
      <c r="K1897" s="473">
        <f t="shared" si="300"/>
        <v>587530</v>
      </c>
      <c r="L1897" s="167">
        <f t="shared" si="300"/>
        <v>587530</v>
      </c>
      <c r="M1897" s="167">
        <f t="shared" si="300"/>
        <v>0</v>
      </c>
      <c r="N1897" s="167">
        <f t="shared" si="300"/>
        <v>587530</v>
      </c>
      <c r="O1897" s="405"/>
      <c r="P1897" s="405"/>
    </row>
    <row r="1898" spans="1:16" ht="54.75" hidden="1" customHeight="1">
      <c r="A1898" s="273"/>
      <c r="B1898" s="481" t="str">
        <f>B1181</f>
        <v>M0301G1901N</v>
      </c>
      <c r="C1898" s="490" t="str">
        <f t="shared" ref="C1898:N1898" si="301">C1181</f>
        <v>FUNCIONAMENTO DAS UNIDADES ACADÊMICAS</v>
      </c>
      <c r="D1898" s="483">
        <f t="shared" si="301"/>
        <v>8100</v>
      </c>
      <c r="E1898" s="484">
        <f t="shared" si="301"/>
        <v>108288</v>
      </c>
      <c r="F1898" s="526" t="str">
        <f t="shared" si="301"/>
        <v>ICA</v>
      </c>
      <c r="G1898" s="488" t="str">
        <f t="shared" si="301"/>
        <v>Alunos Matriculados</v>
      </c>
      <c r="H1898" s="489">
        <f t="shared" si="301"/>
        <v>715</v>
      </c>
      <c r="I1898" s="473">
        <f t="shared" si="301"/>
        <v>256871</v>
      </c>
      <c r="J1898" s="473">
        <f t="shared" si="301"/>
        <v>0</v>
      </c>
      <c r="K1898" s="473">
        <f t="shared" si="301"/>
        <v>256871</v>
      </c>
      <c r="L1898" s="167">
        <f t="shared" si="301"/>
        <v>256871</v>
      </c>
      <c r="M1898" s="167">
        <f t="shared" si="301"/>
        <v>0</v>
      </c>
      <c r="N1898" s="167">
        <f t="shared" si="301"/>
        <v>256871</v>
      </c>
      <c r="O1898" s="405"/>
      <c r="P1898" s="405"/>
    </row>
    <row r="1899" spans="1:16" ht="54.75" hidden="1" customHeight="1">
      <c r="A1899" s="273"/>
      <c r="B1899" s="481" t="str">
        <f>B1223</f>
        <v>M0301G1901N</v>
      </c>
      <c r="C1899" s="490" t="str">
        <f t="shared" ref="C1899:N1899" si="302">C1223</f>
        <v>FUNCIONAMENTO DAS UNIDADES ACADÊMICAS</v>
      </c>
      <c r="D1899" s="483">
        <f t="shared" si="302"/>
        <v>8100</v>
      </c>
      <c r="E1899" s="484">
        <f t="shared" si="302"/>
        <v>108288</v>
      </c>
      <c r="F1899" s="526" t="str">
        <f t="shared" si="302"/>
        <v>IECOS</v>
      </c>
      <c r="G1899" s="488" t="str">
        <f t="shared" si="302"/>
        <v>Funcionamento da Unidade</v>
      </c>
      <c r="H1899" s="489">
        <f t="shared" si="302"/>
        <v>1</v>
      </c>
      <c r="I1899" s="473">
        <f t="shared" si="302"/>
        <v>97282</v>
      </c>
      <c r="J1899" s="473">
        <f t="shared" si="302"/>
        <v>0</v>
      </c>
      <c r="K1899" s="473">
        <f t="shared" si="302"/>
        <v>97282</v>
      </c>
      <c r="L1899" s="167">
        <f t="shared" si="302"/>
        <v>97282</v>
      </c>
      <c r="M1899" s="167">
        <f t="shared" si="302"/>
        <v>0</v>
      </c>
      <c r="N1899" s="167">
        <f t="shared" si="302"/>
        <v>97282</v>
      </c>
      <c r="O1899" s="405"/>
      <c r="P1899" s="405"/>
    </row>
    <row r="1900" spans="1:16" ht="54.75" hidden="1" customHeight="1">
      <c r="A1900" s="273"/>
      <c r="B1900" s="481" t="str">
        <f t="shared" ref="B1900:N1904" si="303">B1224</f>
        <v>M0305G1901N</v>
      </c>
      <c r="C1900" s="490" t="str">
        <f t="shared" si="303"/>
        <v>MANUTENÇÃO DA COLEÇÃO ZOOLÓGICA</v>
      </c>
      <c r="D1900" s="483">
        <f t="shared" si="303"/>
        <v>8100</v>
      </c>
      <c r="E1900" s="484">
        <f t="shared" si="303"/>
        <v>108288</v>
      </c>
      <c r="F1900" s="526" t="str">
        <f t="shared" si="303"/>
        <v>IECOS</v>
      </c>
      <c r="G1900" s="488" t="str">
        <f t="shared" si="303"/>
        <v>Funcionamento da Unidade</v>
      </c>
      <c r="H1900" s="489">
        <f t="shared" si="303"/>
        <v>1</v>
      </c>
      <c r="I1900" s="473">
        <f t="shared" si="303"/>
        <v>9000</v>
      </c>
      <c r="J1900" s="473">
        <f t="shared" si="303"/>
        <v>0</v>
      </c>
      <c r="K1900" s="473">
        <f t="shared" si="303"/>
        <v>9000</v>
      </c>
      <c r="L1900" s="167">
        <f t="shared" si="303"/>
        <v>9000</v>
      </c>
      <c r="M1900" s="167">
        <f t="shared" si="303"/>
        <v>0</v>
      </c>
      <c r="N1900" s="167">
        <f t="shared" si="303"/>
        <v>9000</v>
      </c>
      <c r="O1900" s="405"/>
      <c r="P1900" s="405"/>
    </row>
    <row r="1901" spans="1:16" ht="54.75" hidden="1" customHeight="1">
      <c r="A1901" s="273"/>
      <c r="B1901" s="481" t="str">
        <f t="shared" si="303"/>
        <v>M0306G1917N</v>
      </c>
      <c r="C1901" s="490" t="str">
        <f t="shared" si="303"/>
        <v>MANUTENÇÃO DO HERBÁRIO</v>
      </c>
      <c r="D1901" s="483">
        <f t="shared" si="303"/>
        <v>8100</v>
      </c>
      <c r="E1901" s="484">
        <f t="shared" si="303"/>
        <v>108288</v>
      </c>
      <c r="F1901" s="526" t="str">
        <f t="shared" si="303"/>
        <v>IECOS</v>
      </c>
      <c r="G1901" s="488" t="str">
        <f t="shared" si="303"/>
        <v>Funcionamento da Unidade</v>
      </c>
      <c r="H1901" s="489">
        <f t="shared" si="303"/>
        <v>1</v>
      </c>
      <c r="I1901" s="473">
        <f t="shared" si="303"/>
        <v>5500</v>
      </c>
      <c r="J1901" s="473">
        <f t="shared" si="303"/>
        <v>0</v>
      </c>
      <c r="K1901" s="473">
        <f t="shared" si="303"/>
        <v>5500</v>
      </c>
      <c r="L1901" s="167">
        <f t="shared" si="303"/>
        <v>5500</v>
      </c>
      <c r="M1901" s="167">
        <f t="shared" si="303"/>
        <v>0</v>
      </c>
      <c r="N1901" s="167">
        <f t="shared" si="303"/>
        <v>5500</v>
      </c>
      <c r="O1901" s="405"/>
      <c r="P1901" s="405"/>
    </row>
    <row r="1902" spans="1:16" ht="54.75" hidden="1" customHeight="1">
      <c r="A1902" s="273"/>
      <c r="B1902" s="481" t="str">
        <f t="shared" si="303"/>
        <v>M0302G1917N</v>
      </c>
      <c r="C1902" s="490" t="str">
        <f t="shared" si="303"/>
        <v>MANUTENÇÃO DE BARCOS E MOTORES</v>
      </c>
      <c r="D1902" s="483">
        <f t="shared" si="303"/>
        <v>8100</v>
      </c>
      <c r="E1902" s="484">
        <f t="shared" si="303"/>
        <v>108288</v>
      </c>
      <c r="F1902" s="526" t="str">
        <f t="shared" si="303"/>
        <v>IECOS</v>
      </c>
      <c r="G1902" s="488" t="str">
        <f t="shared" si="303"/>
        <v>Funcionamento da Unidade</v>
      </c>
      <c r="H1902" s="489">
        <f t="shared" si="303"/>
        <v>1</v>
      </c>
      <c r="I1902" s="473">
        <f t="shared" si="303"/>
        <v>5000</v>
      </c>
      <c r="J1902" s="473">
        <f t="shared" si="303"/>
        <v>0</v>
      </c>
      <c r="K1902" s="473">
        <f t="shared" si="303"/>
        <v>5000</v>
      </c>
      <c r="L1902" s="167">
        <f t="shared" si="303"/>
        <v>5000</v>
      </c>
      <c r="M1902" s="167">
        <f t="shared" si="303"/>
        <v>0</v>
      </c>
      <c r="N1902" s="167">
        <f t="shared" si="303"/>
        <v>5000</v>
      </c>
      <c r="O1902" s="405"/>
      <c r="P1902" s="405"/>
    </row>
    <row r="1903" spans="1:16" ht="54.75" hidden="1" customHeight="1">
      <c r="A1903" s="273"/>
      <c r="B1903" s="481" t="str">
        <f t="shared" si="303"/>
        <v>M0304G1917N</v>
      </c>
      <c r="C1903" s="490" t="str">
        <f t="shared" si="303"/>
        <v>MANUTENÇÃO DE EQUIPAMENTOS DIDÁTICOS</v>
      </c>
      <c r="D1903" s="483">
        <f t="shared" si="303"/>
        <v>8100</v>
      </c>
      <c r="E1903" s="484">
        <f t="shared" si="303"/>
        <v>108288</v>
      </c>
      <c r="F1903" s="526" t="str">
        <f t="shared" si="303"/>
        <v>IECOS</v>
      </c>
      <c r="G1903" s="488" t="str">
        <f t="shared" si="303"/>
        <v>Funcionamento da Unidade</v>
      </c>
      <c r="H1903" s="489">
        <f t="shared" si="303"/>
        <v>1</v>
      </c>
      <c r="I1903" s="473">
        <f t="shared" si="303"/>
        <v>5000</v>
      </c>
      <c r="J1903" s="473">
        <f t="shared" si="303"/>
        <v>0</v>
      </c>
      <c r="K1903" s="473">
        <f t="shared" si="303"/>
        <v>5000</v>
      </c>
      <c r="L1903" s="167">
        <f t="shared" si="303"/>
        <v>5000</v>
      </c>
      <c r="M1903" s="167">
        <f t="shared" si="303"/>
        <v>0</v>
      </c>
      <c r="N1903" s="167">
        <f t="shared" si="303"/>
        <v>5000</v>
      </c>
      <c r="O1903" s="405"/>
      <c r="P1903" s="405"/>
    </row>
    <row r="1904" spans="1:16" ht="54.75" hidden="1" customHeight="1">
      <c r="A1904" s="273"/>
      <c r="B1904" s="481" t="str">
        <f t="shared" si="303"/>
        <v>M0303G1901N</v>
      </c>
      <c r="C1904" s="490" t="str">
        <f t="shared" si="303"/>
        <v>ASSISTÊNCIA PARA ALUNOS COM NECESSIDADES ESPECIAIS</v>
      </c>
      <c r="D1904" s="483">
        <f t="shared" si="303"/>
        <v>8100</v>
      </c>
      <c r="E1904" s="484">
        <f t="shared" si="303"/>
        <v>108288</v>
      </c>
      <c r="F1904" s="526" t="str">
        <f t="shared" si="303"/>
        <v>IECOS</v>
      </c>
      <c r="G1904" s="488" t="str">
        <f t="shared" si="303"/>
        <v>Funcionamento da Unidade</v>
      </c>
      <c r="H1904" s="489">
        <f t="shared" si="303"/>
        <v>1</v>
      </c>
      <c r="I1904" s="473">
        <f t="shared" si="303"/>
        <v>2000</v>
      </c>
      <c r="J1904" s="473">
        <f t="shared" si="303"/>
        <v>0</v>
      </c>
      <c r="K1904" s="473">
        <f t="shared" si="303"/>
        <v>2000</v>
      </c>
      <c r="L1904" s="167">
        <f t="shared" si="303"/>
        <v>2000</v>
      </c>
      <c r="M1904" s="167">
        <f t="shared" si="303"/>
        <v>0</v>
      </c>
      <c r="N1904" s="167">
        <f t="shared" si="303"/>
        <v>2000</v>
      </c>
      <c r="O1904" s="405"/>
      <c r="P1904" s="405"/>
    </row>
    <row r="1905" spans="1:20" ht="54.75" hidden="1" customHeight="1">
      <c r="A1905" s="273"/>
      <c r="B1905" s="481" t="str">
        <f>B1256</f>
        <v>M0301G1901N</v>
      </c>
      <c r="C1905" s="490" t="str">
        <f t="shared" ref="C1905:N1905" si="304">C1256</f>
        <v>FUNCIONAMENTO DAS UNIDADES ACADÊMICAS</v>
      </c>
      <c r="D1905" s="483">
        <f t="shared" si="304"/>
        <v>8100</v>
      </c>
      <c r="E1905" s="484">
        <f t="shared" si="304"/>
        <v>108288</v>
      </c>
      <c r="F1905" s="526" t="str">
        <f t="shared" si="304"/>
        <v>IEMCI</v>
      </c>
      <c r="G1905" s="488" t="str">
        <f t="shared" si="304"/>
        <v>Alunos Matriculados</v>
      </c>
      <c r="H1905" s="489">
        <f t="shared" si="304"/>
        <v>241</v>
      </c>
      <c r="I1905" s="473">
        <f t="shared" si="304"/>
        <v>97951</v>
      </c>
      <c r="J1905" s="473">
        <f t="shared" si="304"/>
        <v>0</v>
      </c>
      <c r="K1905" s="473">
        <f t="shared" si="304"/>
        <v>97951</v>
      </c>
      <c r="L1905" s="167">
        <f t="shared" si="304"/>
        <v>97951</v>
      </c>
      <c r="M1905" s="167">
        <f t="shared" si="304"/>
        <v>0</v>
      </c>
      <c r="N1905" s="167">
        <f t="shared" si="304"/>
        <v>97951</v>
      </c>
      <c r="O1905" s="405"/>
      <c r="P1905" s="405"/>
    </row>
    <row r="1906" spans="1:20" ht="54.75" hidden="1" customHeight="1">
      <c r="A1906" s="273"/>
      <c r="B1906" s="481" t="str">
        <f t="shared" ref="B1906:N1906" si="305">B1271</f>
        <v>M0301G1901N</v>
      </c>
      <c r="C1906" s="490" t="str">
        <f t="shared" si="305"/>
        <v>FUNCIONAMENTO DAS UNIDADES ACADÊMICAS</v>
      </c>
      <c r="D1906" s="483">
        <f t="shared" si="305"/>
        <v>8100</v>
      </c>
      <c r="E1906" s="484">
        <f t="shared" si="305"/>
        <v>108288</v>
      </c>
      <c r="F1906" s="526" t="str">
        <f t="shared" si="305"/>
        <v>IMV</v>
      </c>
      <c r="G1906" s="488" t="str">
        <f t="shared" si="305"/>
        <v>Alunos Matriculados</v>
      </c>
      <c r="H1906" s="489">
        <f t="shared" si="305"/>
        <v>241</v>
      </c>
      <c r="I1906" s="473">
        <f t="shared" si="305"/>
        <v>43499</v>
      </c>
      <c r="J1906" s="473">
        <f t="shared" si="305"/>
        <v>0</v>
      </c>
      <c r="K1906" s="473">
        <f t="shared" si="305"/>
        <v>43499</v>
      </c>
      <c r="L1906" s="167">
        <f t="shared" si="305"/>
        <v>43499</v>
      </c>
      <c r="M1906" s="167">
        <f t="shared" si="305"/>
        <v>0</v>
      </c>
      <c r="N1906" s="167">
        <f t="shared" si="305"/>
        <v>43499</v>
      </c>
      <c r="O1906" s="405"/>
      <c r="P1906" s="405"/>
    </row>
    <row r="1907" spans="1:20" ht="54.75" hidden="1" customHeight="1">
      <c r="A1907" s="273"/>
      <c r="B1907" s="481" t="str">
        <f>B1293</f>
        <v>M0301G1901N</v>
      </c>
      <c r="C1907" s="490" t="str">
        <f t="shared" ref="C1907:N1907" si="306">C1293</f>
        <v>FUNCIONAMENTO DAS UNIDADES ACADÊMICAS</v>
      </c>
      <c r="D1907" s="483">
        <f t="shared" si="306"/>
        <v>8100</v>
      </c>
      <c r="E1907" s="484">
        <f t="shared" si="306"/>
        <v>108288</v>
      </c>
      <c r="F1907" s="526" t="str">
        <f t="shared" si="306"/>
        <v>INEAF</v>
      </c>
      <c r="G1907" s="488" t="str">
        <f t="shared" si="306"/>
        <v>Funcionamento da Unidade</v>
      </c>
      <c r="H1907" s="489">
        <f t="shared" si="306"/>
        <v>1</v>
      </c>
      <c r="I1907" s="473">
        <f t="shared" si="306"/>
        <v>66935</v>
      </c>
      <c r="J1907" s="473">
        <f t="shared" si="306"/>
        <v>0</v>
      </c>
      <c r="K1907" s="473">
        <f t="shared" si="306"/>
        <v>66935</v>
      </c>
      <c r="L1907" s="167">
        <f t="shared" si="306"/>
        <v>66935</v>
      </c>
      <c r="M1907" s="167">
        <f t="shared" si="306"/>
        <v>0</v>
      </c>
      <c r="N1907" s="167">
        <f t="shared" si="306"/>
        <v>66935</v>
      </c>
      <c r="O1907" s="405"/>
      <c r="P1907" s="405"/>
    </row>
    <row r="1908" spans="1:20" ht="54.75" hidden="1" customHeight="1">
      <c r="A1908" s="273"/>
      <c r="B1908" s="481" t="str">
        <f>B1307</f>
        <v>O0301O1901N</v>
      </c>
      <c r="C1908" s="490" t="str">
        <f t="shared" ref="C1908:N1908" si="307">C1307</f>
        <v>FUNCIONAMENTO DAS UNIDADES ACADÊMICAS</v>
      </c>
      <c r="D1908" s="483">
        <f t="shared" si="307"/>
        <v>8100</v>
      </c>
      <c r="E1908" s="484">
        <f t="shared" si="307"/>
        <v>108288</v>
      </c>
      <c r="F1908" s="526" t="str">
        <f t="shared" si="307"/>
        <v>NAEA</v>
      </c>
      <c r="G1908" s="488" t="str">
        <f t="shared" si="307"/>
        <v>Funcionamento da Unidade</v>
      </c>
      <c r="H1908" s="489">
        <f t="shared" si="307"/>
        <v>1</v>
      </c>
      <c r="I1908" s="473">
        <f t="shared" si="307"/>
        <v>99299</v>
      </c>
      <c r="J1908" s="473">
        <f t="shared" si="307"/>
        <v>0</v>
      </c>
      <c r="K1908" s="473">
        <f t="shared" si="307"/>
        <v>99299</v>
      </c>
      <c r="L1908" s="167">
        <f t="shared" si="307"/>
        <v>99299</v>
      </c>
      <c r="M1908" s="167">
        <f t="shared" si="307"/>
        <v>0</v>
      </c>
      <c r="N1908" s="167">
        <f t="shared" si="307"/>
        <v>99299</v>
      </c>
      <c r="O1908" s="405"/>
      <c r="P1908" s="405"/>
    </row>
    <row r="1909" spans="1:20" ht="54.75" hidden="1" customHeight="1">
      <c r="A1909" s="273"/>
      <c r="B1909" s="481" t="str">
        <f>B1331</f>
        <v>O0301O1901N</v>
      </c>
      <c r="C1909" s="490" t="str">
        <f t="shared" ref="C1909:N1909" si="308">C1331</f>
        <v>FUNCIONAMENTO DAS UNIDADES ACADÊMICAS</v>
      </c>
      <c r="D1909" s="483">
        <f t="shared" si="308"/>
        <v>8100</v>
      </c>
      <c r="E1909" s="484">
        <f t="shared" si="308"/>
        <v>108288</v>
      </c>
      <c r="F1909" s="526" t="str">
        <f t="shared" si="308"/>
        <v>NDAE</v>
      </c>
      <c r="G1909" s="488" t="str">
        <f t="shared" si="308"/>
        <v>Funcionamento da Unidade</v>
      </c>
      <c r="H1909" s="489">
        <f t="shared" si="308"/>
        <v>1</v>
      </c>
      <c r="I1909" s="473">
        <f t="shared" si="308"/>
        <v>36999</v>
      </c>
      <c r="J1909" s="473">
        <f t="shared" si="308"/>
        <v>0</v>
      </c>
      <c r="K1909" s="473">
        <f t="shared" si="308"/>
        <v>36999</v>
      </c>
      <c r="L1909" s="167">
        <f t="shared" si="308"/>
        <v>36999</v>
      </c>
      <c r="M1909" s="167">
        <f t="shared" si="308"/>
        <v>0</v>
      </c>
      <c r="N1909" s="167">
        <f t="shared" si="308"/>
        <v>36999</v>
      </c>
      <c r="O1909" s="405"/>
      <c r="P1909" s="405"/>
    </row>
    <row r="1910" spans="1:20" ht="54.75" hidden="1" customHeight="1">
      <c r="A1910" s="273"/>
      <c r="B1910" s="481" t="str">
        <f>B1343</f>
        <v>O0301O1901N</v>
      </c>
      <c r="C1910" s="490" t="str">
        <f t="shared" ref="C1910:N1910" si="309">C1343</f>
        <v>FUNCIONAMENTO DAS UNIDADES ACADÊMICAS</v>
      </c>
      <c r="D1910" s="483">
        <f t="shared" si="309"/>
        <v>8100</v>
      </c>
      <c r="E1910" s="484">
        <f t="shared" si="309"/>
        <v>108288</v>
      </c>
      <c r="F1910" s="526" t="str">
        <f t="shared" si="309"/>
        <v>NMT</v>
      </c>
      <c r="G1910" s="488" t="str">
        <f t="shared" si="309"/>
        <v>Funcionamento da Unidade</v>
      </c>
      <c r="H1910" s="489">
        <f t="shared" si="309"/>
        <v>1</v>
      </c>
      <c r="I1910" s="473">
        <f t="shared" si="309"/>
        <v>96536</v>
      </c>
      <c r="J1910" s="473">
        <f t="shared" si="309"/>
        <v>0</v>
      </c>
      <c r="K1910" s="473">
        <f t="shared" si="309"/>
        <v>96536</v>
      </c>
      <c r="L1910" s="167">
        <f t="shared" si="309"/>
        <v>96536</v>
      </c>
      <c r="M1910" s="167">
        <f t="shared" si="309"/>
        <v>0</v>
      </c>
      <c r="N1910" s="167">
        <f t="shared" si="309"/>
        <v>96536</v>
      </c>
      <c r="O1910" s="405"/>
      <c r="P1910" s="405"/>
    </row>
    <row r="1911" spans="1:20" ht="54.75" hidden="1" customHeight="1">
      <c r="A1911" s="273"/>
      <c r="B1911" s="481" t="str">
        <f>B1353</f>
        <v>O0301O1901N</v>
      </c>
      <c r="C1911" s="490" t="str">
        <f t="shared" ref="C1911:N1911" si="310">C1353</f>
        <v>FUNCIONAMENTO DAS UNIDADES ACADÊMICAS</v>
      </c>
      <c r="D1911" s="483">
        <f t="shared" si="310"/>
        <v>8100</v>
      </c>
      <c r="E1911" s="484">
        <f t="shared" si="310"/>
        <v>108288</v>
      </c>
      <c r="F1911" s="526" t="str">
        <f t="shared" si="310"/>
        <v>NPO</v>
      </c>
      <c r="G1911" s="488" t="str">
        <f t="shared" si="310"/>
        <v>Funcionamento da Unidade</v>
      </c>
      <c r="H1911" s="489">
        <f t="shared" si="310"/>
        <v>1</v>
      </c>
      <c r="I1911" s="473">
        <f t="shared" si="310"/>
        <v>49680</v>
      </c>
      <c r="J1911" s="473">
        <f t="shared" si="310"/>
        <v>0</v>
      </c>
      <c r="K1911" s="473">
        <f t="shared" si="310"/>
        <v>49680</v>
      </c>
      <c r="L1911" s="167">
        <f t="shared" si="310"/>
        <v>49680</v>
      </c>
      <c r="M1911" s="167">
        <f t="shared" si="310"/>
        <v>0</v>
      </c>
      <c r="N1911" s="167">
        <f t="shared" si="310"/>
        <v>49680</v>
      </c>
      <c r="O1911" s="405"/>
      <c r="P1911" s="405"/>
    </row>
    <row r="1912" spans="1:20" ht="54.75" hidden="1" customHeight="1">
      <c r="A1912" s="273"/>
      <c r="B1912" s="481" t="str">
        <f>B1376</f>
        <v>O0301O1901N</v>
      </c>
      <c r="C1912" s="490" t="str">
        <f t="shared" ref="C1912:N1912" si="311">C1376</f>
        <v>FUNCIONAMENTO DAS UNIDADES ACADÊMICAS</v>
      </c>
      <c r="D1912" s="483">
        <f t="shared" si="311"/>
        <v>8100</v>
      </c>
      <c r="E1912" s="484">
        <f t="shared" si="311"/>
        <v>108288</v>
      </c>
      <c r="F1912" s="526" t="str">
        <f t="shared" si="311"/>
        <v>NUMA</v>
      </c>
      <c r="G1912" s="488" t="str">
        <f t="shared" si="311"/>
        <v>Funcionamento da Unidade</v>
      </c>
      <c r="H1912" s="489">
        <f t="shared" si="311"/>
        <v>1</v>
      </c>
      <c r="I1912" s="473">
        <f t="shared" si="311"/>
        <v>67255</v>
      </c>
      <c r="J1912" s="473">
        <f t="shared" si="311"/>
        <v>0</v>
      </c>
      <c r="K1912" s="473">
        <f t="shared" si="311"/>
        <v>67255</v>
      </c>
      <c r="L1912" s="167">
        <f t="shared" si="311"/>
        <v>67255</v>
      </c>
      <c r="M1912" s="167">
        <f t="shared" si="311"/>
        <v>0</v>
      </c>
      <c r="N1912" s="167">
        <f t="shared" si="311"/>
        <v>67255</v>
      </c>
      <c r="O1912" s="405"/>
      <c r="P1912" s="405"/>
    </row>
    <row r="1913" spans="1:20" ht="54.75" hidden="1" customHeight="1">
      <c r="A1913" s="273"/>
      <c r="B1913" s="481" t="str">
        <f>B1385</f>
        <v>O0301O1901N</v>
      </c>
      <c r="C1913" s="490" t="str">
        <f t="shared" ref="C1913:N1913" si="312">C1385</f>
        <v>FUNCIONAMENTO DAS UNIDADES ACADÊMICAS</v>
      </c>
      <c r="D1913" s="483">
        <f t="shared" si="312"/>
        <v>8100</v>
      </c>
      <c r="E1913" s="484">
        <f t="shared" si="312"/>
        <v>108288</v>
      </c>
      <c r="F1913" s="526" t="str">
        <f t="shared" si="312"/>
        <v>NTPC</v>
      </c>
      <c r="G1913" s="488" t="str">
        <f t="shared" si="312"/>
        <v>Funcionamento da Unidade</v>
      </c>
      <c r="H1913" s="489">
        <f t="shared" si="312"/>
        <v>1</v>
      </c>
      <c r="I1913" s="473">
        <f t="shared" si="312"/>
        <v>83350</v>
      </c>
      <c r="J1913" s="473">
        <f t="shared" si="312"/>
        <v>0</v>
      </c>
      <c r="K1913" s="473">
        <f t="shared" si="312"/>
        <v>83350</v>
      </c>
      <c r="L1913" s="167">
        <f t="shared" si="312"/>
        <v>83350</v>
      </c>
      <c r="M1913" s="167">
        <f t="shared" si="312"/>
        <v>0</v>
      </c>
      <c r="N1913" s="167">
        <f t="shared" si="312"/>
        <v>83350</v>
      </c>
      <c r="O1913" s="405"/>
      <c r="P1913" s="405"/>
    </row>
    <row r="1914" spans="1:20" ht="54.75" hidden="1" customHeight="1">
      <c r="A1914" s="273"/>
      <c r="B1914" s="481" t="str">
        <f>B1408</f>
        <v>O0301O1901N</v>
      </c>
      <c r="C1914" s="490" t="str">
        <f t="shared" ref="C1914:N1914" si="313">C1408</f>
        <v>FUNCIONAMENTO DAS UNIDADES ACADÊMICAS</v>
      </c>
      <c r="D1914" s="483">
        <f t="shared" si="313"/>
        <v>8100</v>
      </c>
      <c r="E1914" s="484">
        <f t="shared" si="313"/>
        <v>108288</v>
      </c>
      <c r="F1914" s="526" t="str">
        <f t="shared" si="313"/>
        <v>NITAE2</v>
      </c>
      <c r="G1914" s="488" t="str">
        <f t="shared" si="313"/>
        <v>Funcionamento da Unidade</v>
      </c>
      <c r="H1914" s="489">
        <f t="shared" si="313"/>
        <v>1</v>
      </c>
      <c r="I1914" s="473">
        <f t="shared" si="313"/>
        <v>43499</v>
      </c>
      <c r="J1914" s="473">
        <f t="shared" si="313"/>
        <v>0</v>
      </c>
      <c r="K1914" s="473">
        <f t="shared" si="313"/>
        <v>43499</v>
      </c>
      <c r="L1914" s="167">
        <f t="shared" si="313"/>
        <v>43499</v>
      </c>
      <c r="M1914" s="167">
        <f t="shared" si="313"/>
        <v>0</v>
      </c>
      <c r="N1914" s="167">
        <f t="shared" si="313"/>
        <v>43499</v>
      </c>
      <c r="O1914" s="405"/>
      <c r="P1914" s="405"/>
    </row>
    <row r="1915" spans="1:20" ht="54.75" hidden="1" customHeight="1">
      <c r="A1915" s="273"/>
      <c r="B1915" s="481" t="str">
        <f>B1416</f>
        <v>O0301O1901N</v>
      </c>
      <c r="C1915" s="490" t="str">
        <f t="shared" ref="C1915:N1915" si="314">C1416</f>
        <v>FUNCIONAMENTO DAS UNIDADES ACADÊMICAS</v>
      </c>
      <c r="D1915" s="483">
        <f t="shared" si="314"/>
        <v>8100</v>
      </c>
      <c r="E1915" s="484">
        <f t="shared" si="314"/>
        <v>108288</v>
      </c>
      <c r="F1915" s="526" t="str">
        <f t="shared" si="314"/>
        <v>NEB</v>
      </c>
      <c r="G1915" s="488" t="str">
        <f t="shared" si="314"/>
        <v>Funcionamento da Unidade</v>
      </c>
      <c r="H1915" s="489">
        <f t="shared" si="314"/>
        <v>1</v>
      </c>
      <c r="I1915" s="473">
        <f t="shared" si="314"/>
        <v>43499</v>
      </c>
      <c r="J1915" s="473">
        <f t="shared" si="314"/>
        <v>0</v>
      </c>
      <c r="K1915" s="473">
        <f t="shared" si="314"/>
        <v>43499</v>
      </c>
      <c r="L1915" s="167">
        <f t="shared" si="314"/>
        <v>43499</v>
      </c>
      <c r="M1915" s="167">
        <f t="shared" si="314"/>
        <v>0</v>
      </c>
      <c r="N1915" s="167">
        <f t="shared" si="314"/>
        <v>43499</v>
      </c>
      <c r="O1915" s="405"/>
      <c r="P1915" s="405"/>
    </row>
    <row r="1916" spans="1:20" ht="54.75" hidden="1" customHeight="1">
      <c r="A1916" s="527"/>
      <c r="B1916" s="528"/>
      <c r="C1916" s="529"/>
      <c r="D1916" s="530"/>
      <c r="E1916" s="531"/>
      <c r="F1916" s="532"/>
      <c r="G1916" s="533"/>
      <c r="H1916" s="534"/>
      <c r="I1916" s="535"/>
      <c r="J1916" s="535"/>
      <c r="K1916" s="535"/>
      <c r="L1916" s="536"/>
      <c r="M1916" s="536"/>
      <c r="N1916" s="536"/>
      <c r="O1916" s="405"/>
      <c r="P1916" s="405"/>
    </row>
    <row r="1917" spans="1:20" ht="54.75" hidden="1" customHeight="1">
      <c r="A1917" s="527"/>
      <c r="B1917" s="528"/>
      <c r="C1917" s="529"/>
      <c r="D1917" s="530"/>
      <c r="E1917" s="531"/>
      <c r="F1917" s="532"/>
      <c r="G1917" s="533"/>
      <c r="H1917" s="534"/>
      <c r="I1917" s="535"/>
      <c r="J1917" s="535"/>
      <c r="K1917" s="535"/>
      <c r="L1917" s="536"/>
      <c r="M1917" s="536"/>
      <c r="N1917" s="536"/>
      <c r="O1917" s="405"/>
      <c r="P1917" s="405"/>
    </row>
    <row r="1918" spans="1:20" ht="27.75" hidden="1" customHeight="1">
      <c r="A1918" s="27"/>
      <c r="B1918" s="27"/>
      <c r="C1918" s="1204" t="s">
        <v>51</v>
      </c>
      <c r="D1918" s="1204"/>
      <c r="E1918" s="1204"/>
      <c r="F1918" s="1204"/>
      <c r="P1918" s="27"/>
      <c r="Q1918" s="620"/>
      <c r="R1918" s="27"/>
      <c r="S1918" s="27"/>
      <c r="T1918" s="27"/>
    </row>
    <row r="1919" spans="1:20" ht="27.75" hidden="1" customHeight="1">
      <c r="A1919" s="27"/>
      <c r="B1919" s="27"/>
      <c r="C1919" s="1204" t="s">
        <v>52</v>
      </c>
      <c r="D1919" s="1204"/>
      <c r="E1919" s="1204"/>
      <c r="F1919" s="1204"/>
      <c r="P1919" s="27"/>
      <c r="Q1919" s="620"/>
      <c r="R1919" s="27"/>
      <c r="S1919" s="27"/>
      <c r="T1919" s="27"/>
    </row>
    <row r="1920" spans="1:20" ht="27.75" hidden="1" customHeight="1">
      <c r="A1920" s="27"/>
      <c r="B1920" s="27"/>
      <c r="C1920" s="1204" t="s">
        <v>50</v>
      </c>
      <c r="D1920" s="1204"/>
      <c r="E1920" s="1204"/>
      <c r="F1920" s="1204"/>
      <c r="O1920" s="27"/>
      <c r="P1920" s="27"/>
      <c r="Q1920" s="620"/>
      <c r="R1920" s="27"/>
      <c r="S1920" s="27"/>
      <c r="T1920" s="27"/>
    </row>
    <row r="1921" spans="1:20" ht="21.95" hidden="1" customHeight="1">
      <c r="A1921" s="27"/>
      <c r="B1921" s="27"/>
      <c r="E1921" s="27" t="s">
        <v>768</v>
      </c>
      <c r="F1921" s="27"/>
      <c r="O1921" s="27"/>
      <c r="P1921" s="27"/>
      <c r="Q1921" s="620"/>
      <c r="R1921" s="27"/>
      <c r="S1921" s="27"/>
      <c r="T1921" s="27"/>
    </row>
    <row r="1922" spans="1:20" ht="24.95" hidden="1" customHeight="1">
      <c r="A1922" s="27"/>
      <c r="B1922" s="27"/>
      <c r="F1922" s="27"/>
      <c r="O1922" s="27"/>
      <c r="P1922" s="27"/>
      <c r="Q1922" s="620"/>
      <c r="R1922" s="27"/>
      <c r="S1922" s="27"/>
      <c r="T1922" s="27"/>
    </row>
    <row r="1923" spans="1:20" ht="30" hidden="1" customHeight="1">
      <c r="A1923" s="349" t="s">
        <v>1060</v>
      </c>
      <c r="B1923" s="1226" t="s">
        <v>1061</v>
      </c>
      <c r="C1923" s="1226"/>
      <c r="D1923" s="1226"/>
      <c r="E1923" s="1226"/>
      <c r="F1923" s="1226"/>
      <c r="G1923" s="1226"/>
      <c r="H1923" s="1226"/>
      <c r="I1923" s="1226"/>
      <c r="J1923" s="1226"/>
      <c r="K1923" s="1226"/>
      <c r="L1923" s="349"/>
      <c r="M1923" s="349"/>
      <c r="N1923" s="349"/>
      <c r="O1923" s="27"/>
      <c r="P1923" s="27"/>
      <c r="Q1923" s="620"/>
      <c r="R1923" s="27"/>
      <c r="S1923" s="27"/>
      <c r="T1923" s="27"/>
    </row>
    <row r="1924" spans="1:20" ht="24.95" hidden="1" customHeight="1">
      <c r="A1924" s="27"/>
      <c r="B1924" s="27"/>
      <c r="F1924" s="27"/>
      <c r="O1924" s="27"/>
      <c r="P1924" s="27"/>
      <c r="Q1924" s="620"/>
      <c r="R1924" s="27"/>
      <c r="S1924" s="27"/>
      <c r="T1924" s="27"/>
    </row>
    <row r="1925" spans="1:20" ht="30" hidden="1" customHeight="1">
      <c r="A1925" s="27"/>
      <c r="B1925" s="27"/>
      <c r="F1925" s="27"/>
      <c r="O1925" s="27"/>
      <c r="P1925" s="27"/>
      <c r="Q1925" s="620"/>
      <c r="R1925" s="27"/>
      <c r="S1925" s="27"/>
      <c r="T1925" s="27"/>
    </row>
    <row r="1926" spans="1:20" ht="31.5" hidden="1" customHeight="1">
      <c r="A1926" s="356"/>
      <c r="B1926" s="605" t="s">
        <v>352</v>
      </c>
      <c r="C1926" s="356"/>
      <c r="D1926" s="356"/>
      <c r="E1926" s="356"/>
      <c r="F1926" s="356"/>
      <c r="G1926" s="356"/>
      <c r="H1926" s="356"/>
      <c r="I1926" s="356"/>
      <c r="J1926" s="356"/>
      <c r="K1926" s="356"/>
      <c r="L1926" s="356"/>
      <c r="M1926" s="356"/>
      <c r="N1926" s="356"/>
      <c r="O1926" s="27"/>
      <c r="P1926" s="27"/>
      <c r="Q1926" s="620"/>
      <c r="R1926" s="27"/>
      <c r="S1926" s="27"/>
      <c r="T1926" s="27"/>
    </row>
    <row r="1927" spans="1:20" s="500" customFormat="1" ht="90" hidden="1">
      <c r="A1927" s="496" t="s">
        <v>646</v>
      </c>
      <c r="B1927" s="497" t="s">
        <v>1062</v>
      </c>
      <c r="C1927" s="497" t="s">
        <v>37</v>
      </c>
      <c r="D1927" s="497" t="s">
        <v>440</v>
      </c>
      <c r="E1927" s="497" t="s">
        <v>16</v>
      </c>
      <c r="F1927" s="497" t="s">
        <v>185</v>
      </c>
      <c r="G1927" s="497" t="s">
        <v>178</v>
      </c>
      <c r="H1927" s="497" t="s">
        <v>179</v>
      </c>
      <c r="I1927" s="497" t="s">
        <v>180</v>
      </c>
      <c r="J1927" s="497" t="s">
        <v>181</v>
      </c>
      <c r="K1927" s="497" t="s">
        <v>200</v>
      </c>
      <c r="L1927" s="496" t="s">
        <v>180</v>
      </c>
      <c r="M1927" s="496" t="s">
        <v>181</v>
      </c>
      <c r="N1927" s="496" t="s">
        <v>200</v>
      </c>
      <c r="O1927" s="498" t="s">
        <v>200</v>
      </c>
      <c r="P1927" s="498" t="s">
        <v>200</v>
      </c>
      <c r="Q1927" s="622"/>
      <c r="R1927" s="498"/>
      <c r="S1927" s="498"/>
      <c r="T1927" s="499"/>
    </row>
    <row r="1928" spans="1:20" ht="54.75" hidden="1" customHeight="1">
      <c r="A1928" s="273"/>
      <c r="B1928" s="481" t="str">
        <f>B1436</f>
        <v>M0301G1901N</v>
      </c>
      <c r="C1928" s="490" t="str">
        <f t="shared" ref="C1928:N1929" si="315">C1436</f>
        <v>FUNCIONAMENTO DAS UNIDADES ACADÊMICAS</v>
      </c>
      <c r="D1928" s="483">
        <f t="shared" si="315"/>
        <v>8100</v>
      </c>
      <c r="E1928" s="484">
        <f t="shared" si="315"/>
        <v>108288</v>
      </c>
      <c r="F1928" s="526" t="str">
        <f t="shared" si="315"/>
        <v>C. ABAETETUBA</v>
      </c>
      <c r="G1928" s="488" t="str">
        <f t="shared" si="315"/>
        <v>Alunos Matriculados</v>
      </c>
      <c r="H1928" s="489">
        <f t="shared" si="315"/>
        <v>1695</v>
      </c>
      <c r="I1928" s="473">
        <f t="shared" si="315"/>
        <v>204708</v>
      </c>
      <c r="J1928" s="473">
        <f t="shared" si="315"/>
        <v>0</v>
      </c>
      <c r="K1928" s="473">
        <f t="shared" si="315"/>
        <v>204708</v>
      </c>
      <c r="L1928" s="167">
        <f t="shared" si="315"/>
        <v>204708</v>
      </c>
      <c r="M1928" s="167">
        <f t="shared" si="315"/>
        <v>0</v>
      </c>
      <c r="N1928" s="167">
        <f t="shared" si="315"/>
        <v>204708</v>
      </c>
      <c r="O1928" s="405"/>
      <c r="P1928" s="405"/>
    </row>
    <row r="1929" spans="1:20" ht="54.75" hidden="1" customHeight="1">
      <c r="A1929" s="273"/>
      <c r="B1929" s="481" t="str">
        <f>B1437</f>
        <v>M0307G1901N</v>
      </c>
      <c r="C1929" s="490" t="str">
        <f t="shared" si="315"/>
        <v>APOIO A PROJETOS</v>
      </c>
      <c r="D1929" s="483">
        <f t="shared" si="315"/>
        <v>8100</v>
      </c>
      <c r="E1929" s="484">
        <f t="shared" si="315"/>
        <v>108288</v>
      </c>
      <c r="F1929" s="526" t="str">
        <f t="shared" si="315"/>
        <v>C. ABAETETUBA</v>
      </c>
      <c r="G1929" s="488" t="str">
        <f t="shared" si="315"/>
        <v>Projetos Executados</v>
      </c>
      <c r="H1929" s="489">
        <f t="shared" si="315"/>
        <v>1</v>
      </c>
      <c r="I1929" s="473">
        <f t="shared" si="315"/>
        <v>30000</v>
      </c>
      <c r="J1929" s="473">
        <f t="shared" si="315"/>
        <v>0</v>
      </c>
      <c r="K1929" s="473">
        <f t="shared" si="315"/>
        <v>30000</v>
      </c>
      <c r="L1929" s="167">
        <f t="shared" si="315"/>
        <v>30000</v>
      </c>
      <c r="M1929" s="167">
        <f t="shared" si="315"/>
        <v>0</v>
      </c>
      <c r="N1929" s="167">
        <f t="shared" si="315"/>
        <v>30000</v>
      </c>
      <c r="O1929" s="405"/>
      <c r="P1929" s="405"/>
    </row>
    <row r="1930" spans="1:20" ht="54.75" hidden="1" customHeight="1">
      <c r="A1930" s="273"/>
      <c r="B1930" s="481" t="str">
        <f>B1469</f>
        <v>M0301G1901N</v>
      </c>
      <c r="C1930" s="490" t="str">
        <f t="shared" ref="C1930:N1930" si="316">C1469</f>
        <v>FUNCIONAMENTO DAS UNIDADES ACADÊMICAS</v>
      </c>
      <c r="D1930" s="483">
        <f t="shared" si="316"/>
        <v>8100</v>
      </c>
      <c r="E1930" s="484">
        <f t="shared" si="316"/>
        <v>108288</v>
      </c>
      <c r="F1930" s="526" t="str">
        <f t="shared" si="316"/>
        <v>C. ALTAMIRA</v>
      </c>
      <c r="G1930" s="488" t="str">
        <f t="shared" si="316"/>
        <v>Alunos Matriculados</v>
      </c>
      <c r="H1930" s="489">
        <f t="shared" si="316"/>
        <v>1321</v>
      </c>
      <c r="I1930" s="473">
        <f t="shared" si="316"/>
        <v>329091</v>
      </c>
      <c r="J1930" s="473">
        <f t="shared" si="316"/>
        <v>0</v>
      </c>
      <c r="K1930" s="473">
        <f t="shared" si="316"/>
        <v>329091</v>
      </c>
      <c r="L1930" s="167">
        <f t="shared" si="316"/>
        <v>329091</v>
      </c>
      <c r="M1930" s="167">
        <f t="shared" si="316"/>
        <v>0</v>
      </c>
      <c r="N1930" s="167">
        <f t="shared" si="316"/>
        <v>329091</v>
      </c>
      <c r="O1930" s="405"/>
      <c r="P1930" s="405"/>
    </row>
    <row r="1931" spans="1:20" ht="54.75" hidden="1" customHeight="1">
      <c r="A1931" s="273"/>
      <c r="B1931" s="481" t="str">
        <f>B1497</f>
        <v>M0301G1901N</v>
      </c>
      <c r="C1931" s="490" t="str">
        <f t="shared" ref="C1931:N1931" si="317">C1497</f>
        <v>FUNCIONAMENTO DAS UNIDADES ACADÊMICAS</v>
      </c>
      <c r="D1931" s="483">
        <f t="shared" si="317"/>
        <v>8100</v>
      </c>
      <c r="E1931" s="484">
        <f t="shared" si="317"/>
        <v>108288</v>
      </c>
      <c r="F1931" s="526" t="str">
        <f t="shared" si="317"/>
        <v>C. ANANINDEUA</v>
      </c>
      <c r="G1931" s="488" t="str">
        <f t="shared" si="317"/>
        <v>Funcionamento da Unidade</v>
      </c>
      <c r="H1931" s="489">
        <f t="shared" si="317"/>
        <v>1</v>
      </c>
      <c r="I1931" s="473">
        <f t="shared" si="317"/>
        <v>55873</v>
      </c>
      <c r="J1931" s="473">
        <f t="shared" si="317"/>
        <v>0</v>
      </c>
      <c r="K1931" s="473">
        <f t="shared" si="317"/>
        <v>55873</v>
      </c>
      <c r="L1931" s="167">
        <f t="shared" si="317"/>
        <v>55873</v>
      </c>
      <c r="M1931" s="167">
        <f t="shared" si="317"/>
        <v>0</v>
      </c>
      <c r="N1931" s="167">
        <f t="shared" si="317"/>
        <v>55873</v>
      </c>
      <c r="O1931" s="405"/>
      <c r="P1931" s="405"/>
    </row>
    <row r="1932" spans="1:20" ht="54.75" hidden="1" customHeight="1">
      <c r="A1932" s="273"/>
      <c r="B1932" s="481" t="str">
        <f>B1514</f>
        <v>M0301G1901N</v>
      </c>
      <c r="C1932" s="490" t="str">
        <f t="shared" ref="C1932:N1932" si="318">C1514</f>
        <v>FUNCIONAMENTO DAS UNIDADES ACADÊMICAS</v>
      </c>
      <c r="D1932" s="483">
        <f t="shared" si="318"/>
        <v>8100</v>
      </c>
      <c r="E1932" s="484">
        <f t="shared" si="318"/>
        <v>108288</v>
      </c>
      <c r="F1932" s="526" t="str">
        <f t="shared" si="318"/>
        <v>C. BRAGANÇA</v>
      </c>
      <c r="G1932" s="488" t="str">
        <f t="shared" si="318"/>
        <v>Alunos Matriculados</v>
      </c>
      <c r="H1932" s="489">
        <f t="shared" si="318"/>
        <v>2041</v>
      </c>
      <c r="I1932" s="473">
        <f t="shared" si="318"/>
        <v>266012</v>
      </c>
      <c r="J1932" s="473">
        <f t="shared" si="318"/>
        <v>0</v>
      </c>
      <c r="K1932" s="473">
        <f t="shared" si="318"/>
        <v>266012</v>
      </c>
      <c r="L1932" s="167">
        <f t="shared" si="318"/>
        <v>266012</v>
      </c>
      <c r="M1932" s="167">
        <f t="shared" si="318"/>
        <v>0</v>
      </c>
      <c r="N1932" s="167">
        <f t="shared" si="318"/>
        <v>266012</v>
      </c>
      <c r="O1932" s="405"/>
      <c r="P1932" s="405"/>
    </row>
    <row r="1933" spans="1:20" ht="54.75" hidden="1" customHeight="1">
      <c r="A1933" s="273"/>
      <c r="B1933" s="481" t="str">
        <f>B1546</f>
        <v>M0301G1901N</v>
      </c>
      <c r="C1933" s="490" t="str">
        <f t="shared" ref="C1933:N1933" si="319">C1546</f>
        <v>FUNCIONAMENTO DAS UNIDADES ACADÊMICAS</v>
      </c>
      <c r="D1933" s="483">
        <f t="shared" si="319"/>
        <v>8100</v>
      </c>
      <c r="E1933" s="484">
        <f t="shared" si="319"/>
        <v>108288</v>
      </c>
      <c r="F1933" s="526" t="str">
        <f t="shared" si="319"/>
        <v>C. BREVES</v>
      </c>
      <c r="G1933" s="488" t="str">
        <f t="shared" si="319"/>
        <v>Alunos Matriculados</v>
      </c>
      <c r="H1933" s="489">
        <f t="shared" si="319"/>
        <v>1621</v>
      </c>
      <c r="I1933" s="473">
        <f t="shared" si="319"/>
        <v>170452</v>
      </c>
      <c r="J1933" s="473">
        <f t="shared" si="319"/>
        <v>0</v>
      </c>
      <c r="K1933" s="473">
        <f t="shared" si="319"/>
        <v>170452</v>
      </c>
      <c r="L1933" s="167">
        <f t="shared" si="319"/>
        <v>170452</v>
      </c>
      <c r="M1933" s="167">
        <f t="shared" si="319"/>
        <v>0</v>
      </c>
      <c r="N1933" s="167">
        <f t="shared" si="319"/>
        <v>170452</v>
      </c>
      <c r="O1933" s="405"/>
      <c r="P1933" s="405"/>
    </row>
    <row r="1934" spans="1:20" ht="54.75" hidden="1" customHeight="1">
      <c r="A1934" s="273"/>
      <c r="B1934" s="481" t="str">
        <f>B1577</f>
        <v>M0301G1901N</v>
      </c>
      <c r="C1934" s="490" t="str">
        <f t="shared" ref="C1934:N1934" si="320">C1577</f>
        <v>FUNCIONAMENTO DAS UNIDADES ACADÊMICAS</v>
      </c>
      <c r="D1934" s="483">
        <f t="shared" si="320"/>
        <v>8100</v>
      </c>
      <c r="E1934" s="484">
        <f t="shared" si="320"/>
        <v>108288</v>
      </c>
      <c r="F1934" s="526" t="str">
        <f t="shared" si="320"/>
        <v>C. CAMETÁ</v>
      </c>
      <c r="G1934" s="488" t="str">
        <f t="shared" si="320"/>
        <v>Alunos Matriculados</v>
      </c>
      <c r="H1934" s="489">
        <f t="shared" si="320"/>
        <v>1647</v>
      </c>
      <c r="I1934" s="473">
        <f t="shared" si="320"/>
        <v>197836</v>
      </c>
      <c r="J1934" s="473">
        <f t="shared" si="320"/>
        <v>0</v>
      </c>
      <c r="K1934" s="473">
        <f t="shared" si="320"/>
        <v>197836</v>
      </c>
      <c r="L1934" s="167">
        <f t="shared" si="320"/>
        <v>197836</v>
      </c>
      <c r="M1934" s="167">
        <f t="shared" si="320"/>
        <v>0</v>
      </c>
      <c r="N1934" s="167">
        <f t="shared" si="320"/>
        <v>197836</v>
      </c>
      <c r="O1934" s="405"/>
      <c r="P1934" s="405"/>
    </row>
    <row r="1935" spans="1:20" ht="54.75" hidden="1" customHeight="1">
      <c r="A1935" s="273"/>
      <c r="B1935" s="481" t="str">
        <f>B1590</f>
        <v>M0301G1901N</v>
      </c>
      <c r="C1935" s="490" t="str">
        <f t="shared" ref="C1935:N1935" si="321">C1590</f>
        <v>FUNCIONAMENTO DAS UNIDADES ACADÊMICAS</v>
      </c>
      <c r="D1935" s="483">
        <f t="shared" si="321"/>
        <v>8100</v>
      </c>
      <c r="E1935" s="484">
        <f t="shared" si="321"/>
        <v>108288</v>
      </c>
      <c r="F1935" s="526" t="str">
        <f t="shared" si="321"/>
        <v>C. CAPANEMA</v>
      </c>
      <c r="G1935" s="488" t="str">
        <f t="shared" si="321"/>
        <v>Alunos Matriculados</v>
      </c>
      <c r="H1935" s="489">
        <f t="shared" si="321"/>
        <v>789</v>
      </c>
      <c r="I1935" s="473">
        <f t="shared" si="321"/>
        <v>43499</v>
      </c>
      <c r="J1935" s="473">
        <f t="shared" si="321"/>
        <v>0</v>
      </c>
      <c r="K1935" s="473">
        <f t="shared" si="321"/>
        <v>43499</v>
      </c>
      <c r="L1935" s="167">
        <f t="shared" si="321"/>
        <v>43499</v>
      </c>
      <c r="M1935" s="167">
        <f t="shared" si="321"/>
        <v>0</v>
      </c>
      <c r="N1935" s="167">
        <f t="shared" si="321"/>
        <v>43499</v>
      </c>
      <c r="O1935" s="405"/>
      <c r="P1935" s="405"/>
    </row>
    <row r="1936" spans="1:20" ht="54.75" hidden="1" customHeight="1">
      <c r="A1936" s="273"/>
      <c r="B1936" s="481" t="str">
        <f>B1619</f>
        <v>M0301G1901N</v>
      </c>
      <c r="C1936" s="490" t="str">
        <f t="shared" ref="C1936:N1937" si="322">C1619</f>
        <v>FUNCIONAMENTO DAS UNIDADES ACADÊMICAS</v>
      </c>
      <c r="D1936" s="483">
        <f t="shared" si="322"/>
        <v>8100</v>
      </c>
      <c r="E1936" s="484">
        <f t="shared" si="322"/>
        <v>108288</v>
      </c>
      <c r="F1936" s="526" t="str">
        <f t="shared" si="322"/>
        <v>C. CASTANHAL</v>
      </c>
      <c r="G1936" s="488" t="str">
        <f t="shared" si="322"/>
        <v>Alunos Matriculados</v>
      </c>
      <c r="H1936" s="489">
        <f t="shared" si="322"/>
        <v>2242</v>
      </c>
      <c r="I1936" s="473">
        <f t="shared" si="322"/>
        <v>278553</v>
      </c>
      <c r="J1936" s="473">
        <f t="shared" si="322"/>
        <v>0</v>
      </c>
      <c r="K1936" s="473">
        <f t="shared" si="322"/>
        <v>278553</v>
      </c>
      <c r="L1936" s="167">
        <f t="shared" si="322"/>
        <v>278553</v>
      </c>
      <c r="M1936" s="167">
        <f t="shared" si="322"/>
        <v>0</v>
      </c>
      <c r="N1936" s="167">
        <f t="shared" si="322"/>
        <v>278553</v>
      </c>
      <c r="O1936" s="405"/>
      <c r="P1936" s="405"/>
    </row>
    <row r="1937" spans="1:20" ht="54.75" hidden="1" customHeight="1">
      <c r="A1937" s="273"/>
      <c r="B1937" s="481" t="str">
        <f>B1620</f>
        <v>M0307G1901N</v>
      </c>
      <c r="C1937" s="490" t="str">
        <f t="shared" si="322"/>
        <v>APOIO A PROJETOS</v>
      </c>
      <c r="D1937" s="483">
        <f t="shared" si="322"/>
        <v>8100</v>
      </c>
      <c r="E1937" s="484">
        <f t="shared" si="322"/>
        <v>108288</v>
      </c>
      <c r="F1937" s="526" t="str">
        <f t="shared" si="322"/>
        <v>C. CASTANHAL</v>
      </c>
      <c r="G1937" s="488" t="str">
        <f t="shared" si="322"/>
        <v>Projeto Implantado</v>
      </c>
      <c r="H1937" s="489">
        <f t="shared" si="322"/>
        <v>1</v>
      </c>
      <c r="I1937" s="473">
        <f t="shared" si="322"/>
        <v>34389</v>
      </c>
      <c r="J1937" s="473">
        <f t="shared" si="322"/>
        <v>0</v>
      </c>
      <c r="K1937" s="473">
        <f t="shared" si="322"/>
        <v>34389</v>
      </c>
      <c r="L1937" s="167">
        <f t="shared" si="322"/>
        <v>34389</v>
      </c>
      <c r="M1937" s="167">
        <f t="shared" si="322"/>
        <v>0</v>
      </c>
      <c r="N1937" s="167">
        <f t="shared" si="322"/>
        <v>34389</v>
      </c>
      <c r="O1937" s="405"/>
      <c r="P1937" s="405"/>
    </row>
    <row r="1938" spans="1:20" ht="54.75" hidden="1" customHeight="1">
      <c r="A1938" s="273"/>
      <c r="B1938" s="481" t="str">
        <f>B1634</f>
        <v>M0301G1901N</v>
      </c>
      <c r="C1938" s="490" t="str">
        <f t="shared" ref="C1938:N1938" si="323">C1634</f>
        <v>FUNCIONAMENTO DAS UNIDADES ACADÊMICAS</v>
      </c>
      <c r="D1938" s="483">
        <f t="shared" si="323"/>
        <v>8100</v>
      </c>
      <c r="E1938" s="484">
        <f t="shared" si="323"/>
        <v>108288</v>
      </c>
      <c r="F1938" s="526" t="str">
        <f t="shared" si="323"/>
        <v>C. SALINÓPOLIS</v>
      </c>
      <c r="G1938" s="488" t="str">
        <f t="shared" si="323"/>
        <v>Alunos Matriculados</v>
      </c>
      <c r="H1938" s="489">
        <f t="shared" si="323"/>
        <v>249</v>
      </c>
      <c r="I1938" s="473">
        <f t="shared" si="323"/>
        <v>44486</v>
      </c>
      <c r="J1938" s="473">
        <f t="shared" si="323"/>
        <v>0</v>
      </c>
      <c r="K1938" s="473">
        <f t="shared" si="323"/>
        <v>44486</v>
      </c>
      <c r="L1938" s="167">
        <f t="shared" si="323"/>
        <v>44486</v>
      </c>
      <c r="M1938" s="167">
        <f t="shared" si="323"/>
        <v>0</v>
      </c>
      <c r="N1938" s="167">
        <f t="shared" si="323"/>
        <v>44486</v>
      </c>
      <c r="O1938" s="405"/>
      <c r="P1938" s="405"/>
    </row>
    <row r="1939" spans="1:20" ht="54.75" hidden="1" customHeight="1">
      <c r="A1939" s="273"/>
      <c r="B1939" s="481" t="str">
        <f>B1664</f>
        <v>M0301G1901N</v>
      </c>
      <c r="C1939" s="490" t="str">
        <f t="shared" ref="C1939:N1939" si="324">C1664</f>
        <v>FUNCIONAMENTO DAS UNIDADES ACADÊMICAS</v>
      </c>
      <c r="D1939" s="483">
        <f t="shared" si="324"/>
        <v>8100</v>
      </c>
      <c r="E1939" s="484">
        <f t="shared" si="324"/>
        <v>108288</v>
      </c>
      <c r="F1939" s="526" t="str">
        <f t="shared" si="324"/>
        <v>C. SOURE</v>
      </c>
      <c r="G1939" s="488" t="str">
        <f t="shared" si="324"/>
        <v>Alunos Matriculados</v>
      </c>
      <c r="H1939" s="489">
        <f t="shared" si="324"/>
        <v>249</v>
      </c>
      <c r="I1939" s="473">
        <f t="shared" si="324"/>
        <v>69208</v>
      </c>
      <c r="J1939" s="473">
        <f t="shared" si="324"/>
        <v>0</v>
      </c>
      <c r="K1939" s="473">
        <f t="shared" si="324"/>
        <v>69208</v>
      </c>
      <c r="L1939" s="167">
        <f t="shared" si="324"/>
        <v>69208</v>
      </c>
      <c r="M1939" s="167">
        <f t="shared" si="324"/>
        <v>0</v>
      </c>
      <c r="N1939" s="167">
        <f t="shared" si="324"/>
        <v>69208</v>
      </c>
      <c r="O1939" s="405"/>
      <c r="P1939" s="405"/>
    </row>
    <row r="1940" spans="1:20" ht="54.75" hidden="1" customHeight="1">
      <c r="A1940" s="273"/>
      <c r="B1940" s="481" t="str">
        <f>B1679</f>
        <v>M0301G1901N</v>
      </c>
      <c r="C1940" s="490" t="str">
        <f t="shared" ref="C1940:N1940" si="325">C1679</f>
        <v>FUNCIONAMENTO DAS UNIDADES ACADÊMICAS</v>
      </c>
      <c r="D1940" s="483">
        <f t="shared" si="325"/>
        <v>8100</v>
      </c>
      <c r="E1940" s="484">
        <f t="shared" si="325"/>
        <v>108288</v>
      </c>
      <c r="F1940" s="526" t="str">
        <f t="shared" si="325"/>
        <v>C. TUCURUÍ</v>
      </c>
      <c r="G1940" s="488" t="str">
        <f t="shared" si="325"/>
        <v>Alunos Matriculados</v>
      </c>
      <c r="H1940" s="489">
        <f t="shared" si="325"/>
        <v>885</v>
      </c>
      <c r="I1940" s="473">
        <f t="shared" si="325"/>
        <v>157668</v>
      </c>
      <c r="J1940" s="473">
        <f t="shared" si="325"/>
        <v>0</v>
      </c>
      <c r="K1940" s="473">
        <f t="shared" si="325"/>
        <v>157668</v>
      </c>
      <c r="L1940" s="167">
        <f t="shared" si="325"/>
        <v>157668</v>
      </c>
      <c r="M1940" s="167">
        <f t="shared" si="325"/>
        <v>0</v>
      </c>
      <c r="N1940" s="167">
        <f t="shared" si="325"/>
        <v>157668</v>
      </c>
      <c r="O1940" s="405"/>
      <c r="P1940" s="405"/>
    </row>
    <row r="1941" spans="1:20" s="472" customFormat="1" ht="45" hidden="1" customHeight="1">
      <c r="A1941" s="478" t="s">
        <v>200</v>
      </c>
      <c r="B1941" s="1263" t="s">
        <v>200</v>
      </c>
      <c r="C1941" s="1264"/>
      <c r="D1941" s="1264"/>
      <c r="E1941" s="1264"/>
      <c r="F1941" s="1264"/>
      <c r="G1941" s="1264"/>
      <c r="H1941" s="1265"/>
      <c r="I1941" s="479">
        <f>SUM(I1928:I1940)+SUM(I1888:I1915)</f>
        <v>6880423</v>
      </c>
      <c r="J1941" s="479">
        <f>SUM(J1928:J1940)+SUM(J1888:J1915)</f>
        <v>0</v>
      </c>
      <c r="K1941" s="479">
        <f>I1941+J1941</f>
        <v>6880423</v>
      </c>
      <c r="L1941" s="480">
        <f>SUM(L1888:L1940)</f>
        <v>6880423</v>
      </c>
      <c r="M1941" s="480">
        <f>SUM(M1888:M1940)</f>
        <v>0</v>
      </c>
      <c r="N1941" s="480">
        <f>SUM(N1888:N1940)</f>
        <v>6880423</v>
      </c>
      <c r="O1941" s="470">
        <f>N109</f>
        <v>6880423</v>
      </c>
      <c r="P1941" s="470">
        <f>N1941-O1941</f>
        <v>0</v>
      </c>
      <c r="Q1941" s="622"/>
      <c r="R1941" s="470"/>
      <c r="S1941" s="470"/>
      <c r="T1941" s="471"/>
    </row>
    <row r="1942" spans="1:20" ht="27.95" hidden="1" customHeight="1">
      <c r="A1942" s="107"/>
      <c r="B1942" s="107"/>
      <c r="C1942" s="1286"/>
      <c r="D1942" s="1286"/>
      <c r="E1942" s="1286"/>
      <c r="F1942" s="1286"/>
      <c r="G1942" s="1286"/>
      <c r="H1942" s="1286"/>
      <c r="I1942" s="1286"/>
      <c r="J1942" s="1286"/>
      <c r="K1942" s="1286"/>
      <c r="L1942" s="1286"/>
      <c r="M1942" s="1286"/>
      <c r="N1942" s="1286"/>
      <c r="O1942" s="27"/>
      <c r="P1942" s="27"/>
      <c r="Q1942" s="620"/>
      <c r="R1942" s="27"/>
      <c r="S1942" s="27"/>
      <c r="T1942" s="27"/>
    </row>
    <row r="1943" spans="1:20" ht="21.95" hidden="1" customHeight="1">
      <c r="O1943" s="27"/>
      <c r="P1943" s="27"/>
      <c r="Q1943" s="620"/>
      <c r="R1943" s="27"/>
      <c r="S1943" s="27"/>
      <c r="T1943" s="27"/>
    </row>
    <row r="1944" spans="1:20" ht="21.95" hidden="1" customHeight="1">
      <c r="O1944" s="27"/>
      <c r="P1944" s="27"/>
      <c r="Q1944" s="620"/>
      <c r="R1944" s="27"/>
      <c r="S1944" s="27"/>
      <c r="T1944" s="27"/>
    </row>
    <row r="1945" spans="1:20" ht="35.25" hidden="1" customHeight="1">
      <c r="A1945" s="27"/>
      <c r="B1945" s="27"/>
      <c r="C1945" s="1204" t="s">
        <v>51</v>
      </c>
      <c r="D1945" s="1204"/>
      <c r="E1945" s="1204"/>
      <c r="F1945" s="1204"/>
      <c r="O1945" s="27"/>
      <c r="P1945" s="27"/>
      <c r="Q1945" s="620"/>
      <c r="R1945" s="27"/>
      <c r="S1945" s="27"/>
      <c r="T1945" s="27"/>
    </row>
    <row r="1946" spans="1:20" ht="35.25" hidden="1" customHeight="1">
      <c r="A1946" s="27"/>
      <c r="B1946" s="27"/>
      <c r="C1946" s="1204" t="s">
        <v>52</v>
      </c>
      <c r="D1946" s="1204"/>
      <c r="E1946" s="1204"/>
      <c r="F1946" s="1204"/>
      <c r="O1946" s="27"/>
      <c r="P1946" s="27"/>
      <c r="Q1946" s="620"/>
      <c r="R1946" s="27"/>
      <c r="S1946" s="27"/>
      <c r="T1946" s="27"/>
    </row>
    <row r="1947" spans="1:20" ht="35.25" hidden="1" customHeight="1">
      <c r="A1947" s="27"/>
      <c r="B1947" s="27"/>
      <c r="C1947" s="1204" t="s">
        <v>50</v>
      </c>
      <c r="D1947" s="1204"/>
      <c r="E1947" s="1204"/>
      <c r="F1947" s="1204"/>
      <c r="O1947" s="27"/>
      <c r="P1947" s="27"/>
      <c r="Q1947" s="620"/>
      <c r="R1947" s="27"/>
      <c r="S1947" s="27"/>
      <c r="T1947" s="27"/>
    </row>
    <row r="1948" spans="1:20" ht="20.100000000000001" hidden="1" customHeight="1">
      <c r="A1948" s="27"/>
      <c r="B1948" s="27"/>
      <c r="F1948" s="27"/>
      <c r="O1948" s="27"/>
      <c r="P1948" s="27"/>
      <c r="Q1948" s="620"/>
      <c r="R1948" s="27"/>
      <c r="S1948" s="27"/>
      <c r="T1948" s="27"/>
    </row>
    <row r="1949" spans="1:20" ht="20.100000000000001" hidden="1" customHeight="1">
      <c r="A1949" s="27"/>
      <c r="B1949" s="27"/>
      <c r="F1949" s="27"/>
      <c r="O1949" s="27"/>
      <c r="P1949" s="27"/>
      <c r="Q1949" s="620"/>
      <c r="R1949" s="27"/>
      <c r="S1949" s="27"/>
      <c r="T1949" s="27"/>
    </row>
    <row r="1950" spans="1:20" ht="30" hidden="1" customHeight="1">
      <c r="A1950" s="27"/>
      <c r="B1950" s="27"/>
      <c r="F1950" s="27"/>
      <c r="O1950" s="27"/>
      <c r="P1950" s="27"/>
      <c r="Q1950" s="620"/>
      <c r="R1950" s="27"/>
      <c r="S1950" s="27"/>
      <c r="T1950" s="27"/>
    </row>
    <row r="1951" spans="1:20" ht="30" hidden="1" customHeight="1">
      <c r="A1951" s="349" t="s">
        <v>1060</v>
      </c>
      <c r="B1951" s="1226" t="s">
        <v>1061</v>
      </c>
      <c r="C1951" s="1226"/>
      <c r="D1951" s="1226"/>
      <c r="E1951" s="1226"/>
      <c r="F1951" s="1226"/>
      <c r="G1951" s="1226"/>
      <c r="H1951" s="1226"/>
      <c r="I1951" s="1226"/>
      <c r="J1951" s="1226"/>
      <c r="K1951" s="1226"/>
      <c r="L1951" s="349"/>
      <c r="M1951" s="349"/>
      <c r="N1951" s="349"/>
      <c r="O1951" s="27"/>
      <c r="P1951" s="27"/>
      <c r="Q1951" s="620"/>
      <c r="R1951" s="27"/>
      <c r="S1951" s="27"/>
      <c r="T1951" s="27"/>
    </row>
    <row r="1952" spans="1:20" ht="20.100000000000001" hidden="1" customHeight="1">
      <c r="A1952" s="27"/>
      <c r="B1952" s="27"/>
      <c r="F1952" s="27"/>
      <c r="O1952" s="27"/>
      <c r="P1952" s="27"/>
      <c r="Q1952" s="620"/>
      <c r="R1952" s="27"/>
      <c r="S1952" s="27"/>
      <c r="T1952" s="27"/>
    </row>
    <row r="1953" spans="1:20" ht="30" hidden="1" customHeight="1">
      <c r="A1953" s="27"/>
      <c r="B1953" s="27"/>
      <c r="F1953" s="27"/>
      <c r="O1953" s="27"/>
      <c r="P1953" s="27"/>
      <c r="Q1953" s="620"/>
      <c r="R1953" s="27"/>
      <c r="S1953" s="27"/>
      <c r="T1953" s="27"/>
    </row>
    <row r="1954" spans="1:20" ht="21.95" hidden="1" customHeight="1">
      <c r="A1954" s="356"/>
      <c r="B1954" s="605" t="s">
        <v>546</v>
      </c>
      <c r="C1954" s="356"/>
      <c r="D1954" s="356"/>
      <c r="E1954" s="356"/>
      <c r="F1954" s="356"/>
      <c r="G1954" s="356"/>
      <c r="H1954" s="356"/>
      <c r="I1954" s="356"/>
      <c r="J1954" s="356"/>
      <c r="K1954" s="356"/>
      <c r="L1954" s="356"/>
      <c r="M1954" s="356"/>
      <c r="N1954" s="356"/>
      <c r="O1954" s="27"/>
      <c r="P1954" s="27"/>
      <c r="Q1954" s="620"/>
      <c r="R1954" s="27"/>
      <c r="S1954" s="27"/>
      <c r="T1954" s="27"/>
    </row>
    <row r="1955" spans="1:20" s="500" customFormat="1" ht="90" hidden="1">
      <c r="A1955" s="496" t="s">
        <v>646</v>
      </c>
      <c r="B1955" s="497" t="s">
        <v>1062</v>
      </c>
      <c r="C1955" s="497" t="s">
        <v>37</v>
      </c>
      <c r="D1955" s="497" t="s">
        <v>440</v>
      </c>
      <c r="E1955" s="497" t="s">
        <v>16</v>
      </c>
      <c r="F1955" s="497" t="s">
        <v>185</v>
      </c>
      <c r="G1955" s="497" t="s">
        <v>178</v>
      </c>
      <c r="H1955" s="497" t="s">
        <v>179</v>
      </c>
      <c r="I1955" s="497" t="s">
        <v>180</v>
      </c>
      <c r="J1955" s="497" t="s">
        <v>181</v>
      </c>
      <c r="K1955" s="497" t="s">
        <v>200</v>
      </c>
      <c r="L1955" s="496" t="s">
        <v>180</v>
      </c>
      <c r="M1955" s="496" t="s">
        <v>181</v>
      </c>
      <c r="N1955" s="496" t="s">
        <v>200</v>
      </c>
      <c r="O1955" s="498" t="s">
        <v>200</v>
      </c>
      <c r="P1955" s="498" t="s">
        <v>200</v>
      </c>
      <c r="Q1955" s="622"/>
      <c r="R1955" s="498"/>
      <c r="S1955" s="498"/>
      <c r="T1955" s="499"/>
    </row>
    <row r="1956" spans="1:20" ht="54.75" hidden="1" customHeight="1">
      <c r="A1956" s="273"/>
      <c r="B1956" s="481" t="str">
        <f>B937</f>
        <v>M0401G1917N</v>
      </c>
      <c r="C1956" s="490" t="s">
        <v>681</v>
      </c>
      <c r="D1956" s="483">
        <v>112</v>
      </c>
      <c r="E1956" s="484">
        <v>108288</v>
      </c>
      <c r="F1956" s="526" t="s">
        <v>31</v>
      </c>
      <c r="G1956" s="488" t="s">
        <v>803</v>
      </c>
      <c r="H1956" s="489">
        <v>1</v>
      </c>
      <c r="I1956" s="473">
        <f t="shared" ref="I1956:N1956" si="326">I937</f>
        <v>60511</v>
      </c>
      <c r="J1956" s="473">
        <f t="shared" si="326"/>
        <v>160509</v>
      </c>
      <c r="K1956" s="473">
        <f t="shared" si="326"/>
        <v>221020</v>
      </c>
      <c r="L1956" s="167">
        <f t="shared" si="326"/>
        <v>60511</v>
      </c>
      <c r="M1956" s="167">
        <f t="shared" si="326"/>
        <v>160509</v>
      </c>
      <c r="N1956" s="167">
        <f t="shared" si="326"/>
        <v>221020</v>
      </c>
      <c r="O1956" s="405"/>
      <c r="P1956" s="405"/>
    </row>
    <row r="1957" spans="1:20" ht="54.75" hidden="1" customHeight="1">
      <c r="A1957" s="273"/>
      <c r="B1957" s="481" t="str">
        <f>B938</f>
        <v>M0402G1917N</v>
      </c>
      <c r="C1957" s="490" t="str">
        <f t="shared" ref="C1957:K1957" si="327">C938</f>
        <v>AQUISIÇÃO DE EQUIPAMENTOS PARA AS UNIDADES ACADÊMICAS</v>
      </c>
      <c r="D1957" s="483">
        <f t="shared" si="327"/>
        <v>112</v>
      </c>
      <c r="E1957" s="484">
        <f t="shared" si="327"/>
        <v>108288</v>
      </c>
      <c r="F1957" s="526" t="str">
        <f t="shared" si="327"/>
        <v>ESCOLA DE APLICAÇÃO</v>
      </c>
      <c r="G1957" s="488" t="str">
        <f t="shared" si="327"/>
        <v>Aquisição de Equipamento</v>
      </c>
      <c r="H1957" s="489">
        <f t="shared" si="327"/>
        <v>0</v>
      </c>
      <c r="I1957" s="473">
        <f t="shared" si="327"/>
        <v>0</v>
      </c>
      <c r="J1957" s="473">
        <f t="shared" si="327"/>
        <v>0</v>
      </c>
      <c r="K1957" s="473">
        <f t="shared" si="327"/>
        <v>0</v>
      </c>
      <c r="L1957" s="167"/>
      <c r="M1957" s="167"/>
      <c r="N1957" s="167"/>
      <c r="O1957" s="405"/>
      <c r="P1957" s="405"/>
    </row>
    <row r="1958" spans="1:20" ht="54.75" hidden="1" customHeight="1">
      <c r="A1958" s="273"/>
      <c r="B1958" s="481" t="str">
        <f>B955</f>
        <v>M0401G1917N</v>
      </c>
      <c r="C1958" s="490" t="str">
        <f t="shared" ref="C1958:K1959" si="328">C955</f>
        <v>RECUPERAÇÃO DA INFRA-ESTRUTURA DAS UNIDADES ACADÊMICAS</v>
      </c>
      <c r="D1958" s="483">
        <f t="shared" si="328"/>
        <v>8100</v>
      </c>
      <c r="E1958" s="484">
        <f t="shared" si="328"/>
        <v>108288</v>
      </c>
      <c r="F1958" s="526" t="str">
        <f t="shared" si="328"/>
        <v>ICB</v>
      </c>
      <c r="G1958" s="488" t="str">
        <f t="shared" si="328"/>
        <v>Ambiente Físico Modernizado/ Recuperado</v>
      </c>
      <c r="H1958" s="489">
        <f t="shared" si="328"/>
        <v>1</v>
      </c>
      <c r="I1958" s="473">
        <f t="shared" si="328"/>
        <v>134870</v>
      </c>
      <c r="J1958" s="473">
        <f t="shared" si="328"/>
        <v>36487</v>
      </c>
      <c r="K1958" s="473">
        <f t="shared" si="328"/>
        <v>171357</v>
      </c>
      <c r="L1958" s="167">
        <f>L955</f>
        <v>134870</v>
      </c>
      <c r="M1958" s="167">
        <f>M955</f>
        <v>36487</v>
      </c>
      <c r="N1958" s="167">
        <f>N955</f>
        <v>171357</v>
      </c>
      <c r="O1958" s="405"/>
      <c r="P1958" s="405"/>
    </row>
    <row r="1959" spans="1:20" ht="54.75" hidden="1" customHeight="1">
      <c r="A1959" s="273"/>
      <c r="B1959" s="481" t="str">
        <f>B956</f>
        <v>M0402G1917N</v>
      </c>
      <c r="C1959" s="490" t="str">
        <f t="shared" si="328"/>
        <v>AQUISIÇÃO DE EQUIPAMENTOS PARA AS UNIDADES ACADÊMICAS</v>
      </c>
      <c r="D1959" s="483">
        <f t="shared" si="328"/>
        <v>112</v>
      </c>
      <c r="E1959" s="484">
        <f t="shared" si="328"/>
        <v>108288</v>
      </c>
      <c r="F1959" s="526" t="str">
        <f t="shared" si="328"/>
        <v>ICB</v>
      </c>
      <c r="G1959" s="488" t="str">
        <f t="shared" si="328"/>
        <v>Aquisição de Equipamento</v>
      </c>
      <c r="H1959" s="489">
        <f t="shared" si="328"/>
        <v>0</v>
      </c>
      <c r="I1959" s="473">
        <f t="shared" si="328"/>
        <v>0</v>
      </c>
      <c r="J1959" s="473">
        <f t="shared" si="328"/>
        <v>0</v>
      </c>
      <c r="K1959" s="473">
        <f t="shared" si="328"/>
        <v>0</v>
      </c>
      <c r="L1959" s="167"/>
      <c r="M1959" s="167"/>
      <c r="N1959" s="167"/>
      <c r="O1959" s="405"/>
      <c r="P1959" s="405"/>
    </row>
    <row r="1960" spans="1:20" ht="54.75" hidden="1" customHeight="1">
      <c r="A1960" s="273"/>
      <c r="B1960" s="481" t="str">
        <f>B988</f>
        <v>M0401G1917N</v>
      </c>
      <c r="C1960" s="490" t="str">
        <f t="shared" ref="C1960:K1960" si="329">C988</f>
        <v>RECUPERAÇÃO DA INFRA-ESTRUTURA DAS UNIDADES ACADÊMICAS</v>
      </c>
      <c r="D1960" s="483">
        <f t="shared" si="329"/>
        <v>8100</v>
      </c>
      <c r="E1960" s="484">
        <f t="shared" si="329"/>
        <v>108288</v>
      </c>
      <c r="F1960" s="526" t="str">
        <f t="shared" si="329"/>
        <v>ICS</v>
      </c>
      <c r="G1960" s="488" t="str">
        <f t="shared" si="329"/>
        <v>Ambiente Físico Modernizado/ Recuperado</v>
      </c>
      <c r="H1960" s="489">
        <f t="shared" si="329"/>
        <v>1</v>
      </c>
      <c r="I1960" s="473">
        <f t="shared" si="329"/>
        <v>19942</v>
      </c>
      <c r="J1960" s="473">
        <f t="shared" si="329"/>
        <v>36308</v>
      </c>
      <c r="K1960" s="473">
        <f t="shared" si="329"/>
        <v>56250</v>
      </c>
      <c r="L1960" s="167">
        <f>L988</f>
        <v>19942</v>
      </c>
      <c r="M1960" s="167">
        <f>M988</f>
        <v>36308</v>
      </c>
      <c r="N1960" s="167">
        <f>N988</f>
        <v>56250</v>
      </c>
      <c r="O1960" s="405"/>
      <c r="P1960" s="405"/>
    </row>
    <row r="1961" spans="1:20" ht="54.75" hidden="1" customHeight="1">
      <c r="A1961" s="273"/>
      <c r="B1961" s="481" t="str">
        <f>B992</f>
        <v>M0402G1917N</v>
      </c>
      <c r="C1961" s="490" t="str">
        <f t="shared" ref="C1961:K1961" si="330">C992</f>
        <v>AQUISIÇÃO DE EQUIPAMENTOS PARA AS UNIDADES ACADÊMICAS</v>
      </c>
      <c r="D1961" s="483">
        <f t="shared" si="330"/>
        <v>112</v>
      </c>
      <c r="E1961" s="484">
        <f t="shared" si="330"/>
        <v>108288</v>
      </c>
      <c r="F1961" s="526" t="str">
        <f t="shared" si="330"/>
        <v>ICS</v>
      </c>
      <c r="G1961" s="488" t="str">
        <f t="shared" si="330"/>
        <v>Aquisição de Equipamento</v>
      </c>
      <c r="H1961" s="489">
        <f t="shared" si="330"/>
        <v>0</v>
      </c>
      <c r="I1961" s="473">
        <f t="shared" si="330"/>
        <v>0</v>
      </c>
      <c r="J1961" s="473">
        <f t="shared" si="330"/>
        <v>0</v>
      </c>
      <c r="K1961" s="473">
        <f t="shared" si="330"/>
        <v>0</v>
      </c>
      <c r="L1961" s="167"/>
      <c r="M1961" s="167"/>
      <c r="N1961" s="167"/>
      <c r="O1961" s="405"/>
      <c r="P1961" s="405"/>
    </row>
    <row r="1962" spans="1:20" ht="54.75" hidden="1" customHeight="1">
      <c r="A1962" s="273"/>
      <c r="B1962" s="481" t="str">
        <f>B1000</f>
        <v>M0401G1917N</v>
      </c>
      <c r="C1962" s="490" t="str">
        <f t="shared" ref="C1962:K1962" si="331">C1000</f>
        <v>RECUPERAÇÃO DA INFRA-ESTRUTURA DAS UNIDADES ACADÊMICAS</v>
      </c>
      <c r="D1962" s="483">
        <f t="shared" si="331"/>
        <v>8100</v>
      </c>
      <c r="E1962" s="484">
        <f t="shared" si="331"/>
        <v>108288</v>
      </c>
      <c r="F1962" s="526" t="str">
        <f t="shared" si="331"/>
        <v>ICEN</v>
      </c>
      <c r="G1962" s="488" t="str">
        <f t="shared" si="331"/>
        <v>Aquisição de Equipamento</v>
      </c>
      <c r="H1962" s="489">
        <f t="shared" si="331"/>
        <v>1</v>
      </c>
      <c r="I1962" s="473">
        <f t="shared" si="331"/>
        <v>0</v>
      </c>
      <c r="J1962" s="473">
        <f t="shared" si="331"/>
        <v>56875</v>
      </c>
      <c r="K1962" s="473">
        <f t="shared" si="331"/>
        <v>56875</v>
      </c>
      <c r="L1962" s="167">
        <f>L1000</f>
        <v>0</v>
      </c>
      <c r="M1962" s="167">
        <f>M1000</f>
        <v>56875</v>
      </c>
      <c r="N1962" s="167">
        <f>N1000</f>
        <v>56875</v>
      </c>
      <c r="O1962" s="405"/>
      <c r="P1962" s="405"/>
    </row>
    <row r="1963" spans="1:20" ht="54.75" hidden="1" customHeight="1">
      <c r="A1963" s="273"/>
      <c r="B1963" s="481" t="str">
        <f>B1026</f>
        <v>M0401G1917N</v>
      </c>
      <c r="C1963" s="490" t="str">
        <f t="shared" ref="C1963:K1963" si="332">C1026</f>
        <v>RECUPERAÇÃO DA INFRA-ESTRUTURA DAS UNIDADES ACADÊMICAS</v>
      </c>
      <c r="D1963" s="483">
        <f t="shared" si="332"/>
        <v>8100</v>
      </c>
      <c r="E1963" s="484">
        <f t="shared" si="332"/>
        <v>108288</v>
      </c>
      <c r="F1963" s="526" t="str">
        <f t="shared" si="332"/>
        <v>ICJ</v>
      </c>
      <c r="G1963" s="488" t="str">
        <f t="shared" si="332"/>
        <v>Aquisição de Equipamento</v>
      </c>
      <c r="H1963" s="489">
        <f t="shared" si="332"/>
        <v>1</v>
      </c>
      <c r="I1963" s="473">
        <f t="shared" si="332"/>
        <v>0</v>
      </c>
      <c r="J1963" s="473">
        <f t="shared" si="332"/>
        <v>22368</v>
      </c>
      <c r="K1963" s="473">
        <f t="shared" si="332"/>
        <v>22368</v>
      </c>
      <c r="L1963" s="167">
        <f>L1026</f>
        <v>0</v>
      </c>
      <c r="M1963" s="167">
        <f>M1026</f>
        <v>22368</v>
      </c>
      <c r="N1963" s="167">
        <f>N1026</f>
        <v>22368</v>
      </c>
      <c r="O1963" s="405"/>
      <c r="P1963" s="405"/>
    </row>
    <row r="1964" spans="1:20" ht="54.75" hidden="1" customHeight="1">
      <c r="A1964" s="273"/>
      <c r="B1964" s="481" t="str">
        <f>B1039</f>
        <v>M0401G1917N</v>
      </c>
      <c r="C1964" s="490" t="str">
        <f t="shared" ref="C1964:K1965" si="333">C1039</f>
        <v>RECUPERAÇÃO DA INFRA-ESTRUTURA DAS UNIDADES ACADÊMICAS</v>
      </c>
      <c r="D1964" s="483">
        <f t="shared" si="333"/>
        <v>8100</v>
      </c>
      <c r="E1964" s="484">
        <f t="shared" si="333"/>
        <v>108288</v>
      </c>
      <c r="F1964" s="526" t="str">
        <f t="shared" si="333"/>
        <v>ICED</v>
      </c>
      <c r="G1964" s="488" t="str">
        <f t="shared" si="333"/>
        <v>Ambiente Físico Modernizado/ Recuperado</v>
      </c>
      <c r="H1964" s="489">
        <f t="shared" si="333"/>
        <v>1</v>
      </c>
      <c r="I1964" s="473">
        <f t="shared" si="333"/>
        <v>45000</v>
      </c>
      <c r="J1964" s="473">
        <f t="shared" si="333"/>
        <v>22623</v>
      </c>
      <c r="K1964" s="473">
        <f t="shared" si="333"/>
        <v>67623</v>
      </c>
      <c r="L1964" s="167">
        <f>L1039</f>
        <v>45000</v>
      </c>
      <c r="M1964" s="167">
        <f>M1039</f>
        <v>22623</v>
      </c>
      <c r="N1964" s="167">
        <f>N1039</f>
        <v>67623</v>
      </c>
      <c r="O1964" s="405"/>
      <c r="P1964" s="405"/>
    </row>
    <row r="1965" spans="1:20" ht="54.75" hidden="1" customHeight="1">
      <c r="A1965" s="273"/>
      <c r="B1965" s="481" t="str">
        <f>B1040</f>
        <v>M0402G1917N</v>
      </c>
      <c r="C1965" s="490" t="str">
        <f t="shared" si="333"/>
        <v>AQUISIÇÃO DE EQUIPAMENTOS PARA AS UNIDADES ACADÊMICAS</v>
      </c>
      <c r="D1965" s="483">
        <f t="shared" si="333"/>
        <v>112</v>
      </c>
      <c r="E1965" s="484">
        <f t="shared" si="333"/>
        <v>108288</v>
      </c>
      <c r="F1965" s="526" t="str">
        <f t="shared" si="333"/>
        <v>ICED</v>
      </c>
      <c r="G1965" s="488" t="str">
        <f t="shared" si="333"/>
        <v>Aquisição de Equipamento</v>
      </c>
      <c r="H1965" s="489">
        <f t="shared" si="333"/>
        <v>2</v>
      </c>
      <c r="I1965" s="473">
        <f t="shared" si="333"/>
        <v>0</v>
      </c>
      <c r="J1965" s="473">
        <f t="shared" si="333"/>
        <v>0</v>
      </c>
      <c r="K1965" s="473">
        <f t="shared" si="333"/>
        <v>0</v>
      </c>
      <c r="L1965" s="167"/>
      <c r="M1965" s="167"/>
      <c r="N1965" s="167"/>
      <c r="O1965" s="405"/>
      <c r="P1965" s="405"/>
    </row>
    <row r="1966" spans="1:20" ht="54.75" hidden="1" customHeight="1">
      <c r="A1966" s="273"/>
      <c r="B1966" s="481" t="str">
        <f>B1070</f>
        <v>M0401G1917N</v>
      </c>
      <c r="C1966" s="490" t="str">
        <f t="shared" ref="C1966:K1967" si="334">C1070</f>
        <v>RECUPERAÇÃO DA INFRA-ESTRUTURA DAS UNIDADES ACADÊMICAS</v>
      </c>
      <c r="D1966" s="483">
        <f t="shared" si="334"/>
        <v>8100</v>
      </c>
      <c r="E1966" s="484">
        <f t="shared" si="334"/>
        <v>108288</v>
      </c>
      <c r="F1966" s="526" t="str">
        <f t="shared" si="334"/>
        <v>IFCH</v>
      </c>
      <c r="G1966" s="488" t="str">
        <f t="shared" si="334"/>
        <v>Área Recuperada/ Reformada</v>
      </c>
      <c r="H1966" s="489">
        <f t="shared" si="334"/>
        <v>1</v>
      </c>
      <c r="I1966" s="473">
        <f t="shared" si="334"/>
        <v>55165</v>
      </c>
      <c r="J1966" s="473">
        <f t="shared" si="334"/>
        <v>20000</v>
      </c>
      <c r="K1966" s="473">
        <f t="shared" si="334"/>
        <v>75165</v>
      </c>
      <c r="L1966" s="167">
        <f>L1070</f>
        <v>55165</v>
      </c>
      <c r="M1966" s="167">
        <f>M1070</f>
        <v>20000</v>
      </c>
      <c r="N1966" s="167">
        <f>N1070</f>
        <v>75165</v>
      </c>
      <c r="O1966" s="405"/>
      <c r="P1966" s="405"/>
    </row>
    <row r="1967" spans="1:20" ht="54.75" hidden="1" customHeight="1">
      <c r="A1967" s="273"/>
      <c r="B1967" s="481" t="str">
        <f>B1071</f>
        <v>M0402G1917N</v>
      </c>
      <c r="C1967" s="490" t="str">
        <f t="shared" si="334"/>
        <v>AQUISIÇÃO DE EQUIPAMENTOS PARA AS UNIDADES ACADÊMICAS</v>
      </c>
      <c r="D1967" s="483">
        <f t="shared" si="334"/>
        <v>112</v>
      </c>
      <c r="E1967" s="484">
        <f t="shared" si="334"/>
        <v>108288</v>
      </c>
      <c r="F1967" s="526" t="str">
        <f t="shared" si="334"/>
        <v>IFCH</v>
      </c>
      <c r="G1967" s="488" t="str">
        <f t="shared" si="334"/>
        <v>Aquisição de Equipamento</v>
      </c>
      <c r="H1967" s="489">
        <f t="shared" si="334"/>
        <v>0</v>
      </c>
      <c r="I1967" s="473">
        <f t="shared" si="334"/>
        <v>0</v>
      </c>
      <c r="J1967" s="473">
        <f t="shared" si="334"/>
        <v>0</v>
      </c>
      <c r="K1967" s="473">
        <f t="shared" si="334"/>
        <v>0</v>
      </c>
      <c r="L1967" s="167"/>
      <c r="M1967" s="167"/>
      <c r="N1967" s="167"/>
      <c r="O1967" s="405"/>
      <c r="P1967" s="405"/>
    </row>
    <row r="1968" spans="1:20" ht="54.75" hidden="1" customHeight="1">
      <c r="A1968" s="273"/>
      <c r="B1968" s="481" t="str">
        <f>B1086</f>
        <v>M0401G1917N</v>
      </c>
      <c r="C1968" s="490" t="str">
        <f t="shared" ref="C1968:K1969" si="335">C1086</f>
        <v>RECUPERAÇÃO DA INFRA-ESTRUTURA DAS UNIDADES ACADÊMICAS</v>
      </c>
      <c r="D1968" s="483">
        <f t="shared" si="335"/>
        <v>8100</v>
      </c>
      <c r="E1968" s="484">
        <f t="shared" si="335"/>
        <v>108288</v>
      </c>
      <c r="F1968" s="526" t="str">
        <f t="shared" si="335"/>
        <v>IG</v>
      </c>
      <c r="G1968" s="488" t="str">
        <f t="shared" si="335"/>
        <v>Ambiente Físico Modernizado/Recuperado</v>
      </c>
      <c r="H1968" s="489">
        <f t="shared" si="335"/>
        <v>1</v>
      </c>
      <c r="I1968" s="473">
        <f t="shared" si="335"/>
        <v>33797</v>
      </c>
      <c r="J1968" s="473">
        <f t="shared" si="335"/>
        <v>23663</v>
      </c>
      <c r="K1968" s="473">
        <f t="shared" si="335"/>
        <v>57460</v>
      </c>
      <c r="L1968" s="167">
        <f>L1086</f>
        <v>33797</v>
      </c>
      <c r="M1968" s="167">
        <f>M1086</f>
        <v>23663</v>
      </c>
      <c r="N1968" s="167">
        <f>N1086</f>
        <v>57460</v>
      </c>
      <c r="O1968" s="405"/>
      <c r="P1968" s="405"/>
    </row>
    <row r="1969" spans="1:16" ht="54.75" hidden="1" customHeight="1">
      <c r="A1969" s="273"/>
      <c r="B1969" s="481" t="str">
        <f>B1087</f>
        <v>M0402G1917N</v>
      </c>
      <c r="C1969" s="490" t="str">
        <f t="shared" si="335"/>
        <v>AQUISIÇÃO DE EQUIPAMENTOS PARA AS UNIDADES ACADÊMICAS</v>
      </c>
      <c r="D1969" s="483">
        <f t="shared" si="335"/>
        <v>112</v>
      </c>
      <c r="E1969" s="484">
        <f t="shared" si="335"/>
        <v>108288</v>
      </c>
      <c r="F1969" s="526" t="str">
        <f t="shared" si="335"/>
        <v>IG</v>
      </c>
      <c r="G1969" s="488" t="str">
        <f t="shared" si="335"/>
        <v>Aquisição de Equipamento</v>
      </c>
      <c r="H1969" s="489">
        <f t="shared" si="335"/>
        <v>0</v>
      </c>
      <c r="I1969" s="473">
        <f t="shared" si="335"/>
        <v>0</v>
      </c>
      <c r="J1969" s="473">
        <f t="shared" si="335"/>
        <v>0</v>
      </c>
      <c r="K1969" s="473">
        <f t="shared" si="335"/>
        <v>0</v>
      </c>
      <c r="L1969" s="167"/>
      <c r="M1969" s="167"/>
      <c r="N1969" s="167"/>
      <c r="O1969" s="405"/>
      <c r="P1969" s="405"/>
    </row>
    <row r="1970" spans="1:16" ht="54.75" hidden="1" customHeight="1">
      <c r="A1970" s="273"/>
      <c r="B1970" s="481" t="str">
        <f>B1110</f>
        <v>M0401G1917N</v>
      </c>
      <c r="C1970" s="490" t="str">
        <f t="shared" ref="C1970:K1971" si="336">C1110</f>
        <v>RECUPERAÇÃO DA INFRA-ESTRUTURA DAS UNIDADES ACADÊMICAS</v>
      </c>
      <c r="D1970" s="483">
        <f t="shared" si="336"/>
        <v>8100</v>
      </c>
      <c r="E1970" s="484">
        <f t="shared" si="336"/>
        <v>108288</v>
      </c>
      <c r="F1970" s="526" t="str">
        <f t="shared" si="336"/>
        <v>ILC</v>
      </c>
      <c r="G1970" s="488" t="str">
        <f t="shared" si="336"/>
        <v>Ambiente Físico Modernizado/ Recuperado</v>
      </c>
      <c r="H1970" s="489">
        <f t="shared" si="336"/>
        <v>1</v>
      </c>
      <c r="I1970" s="473">
        <f t="shared" si="336"/>
        <v>60832</v>
      </c>
      <c r="J1970" s="473">
        <f t="shared" si="336"/>
        <v>16345</v>
      </c>
      <c r="K1970" s="473">
        <f t="shared" si="336"/>
        <v>77177</v>
      </c>
      <c r="L1970" s="167">
        <f>L1110</f>
        <v>60832</v>
      </c>
      <c r="M1970" s="167">
        <f>M1110</f>
        <v>16345</v>
      </c>
      <c r="N1970" s="167">
        <f>N1110</f>
        <v>77177</v>
      </c>
      <c r="O1970" s="405"/>
      <c r="P1970" s="405"/>
    </row>
    <row r="1971" spans="1:16" ht="54.75" hidden="1" customHeight="1">
      <c r="A1971" s="273"/>
      <c r="B1971" s="481" t="str">
        <f>B1111</f>
        <v>M0402G1917N</v>
      </c>
      <c r="C1971" s="490" t="str">
        <f t="shared" si="336"/>
        <v>AQUISIÇÃO DE EQUIPAMENTOS PARA AS UNIDADES ACADÊMICAS</v>
      </c>
      <c r="D1971" s="483">
        <f t="shared" si="336"/>
        <v>100</v>
      </c>
      <c r="E1971" s="484">
        <f t="shared" si="336"/>
        <v>108288</v>
      </c>
      <c r="F1971" s="526" t="str">
        <f t="shared" si="336"/>
        <v>ILC</v>
      </c>
      <c r="G1971" s="488" t="str">
        <f t="shared" si="336"/>
        <v>Aquisição de Equipamento</v>
      </c>
      <c r="H1971" s="489">
        <f t="shared" si="336"/>
        <v>0</v>
      </c>
      <c r="I1971" s="473">
        <f t="shared" si="336"/>
        <v>0</v>
      </c>
      <c r="J1971" s="473">
        <f t="shared" si="336"/>
        <v>0</v>
      </c>
      <c r="K1971" s="473">
        <f t="shared" si="336"/>
        <v>0</v>
      </c>
      <c r="L1971" s="167"/>
      <c r="M1971" s="167"/>
      <c r="N1971" s="167"/>
      <c r="O1971" s="405"/>
      <c r="P1971" s="405"/>
    </row>
    <row r="1972" spans="1:16" ht="54.75" hidden="1" customHeight="1">
      <c r="A1972" s="273"/>
      <c r="B1972" s="481" t="str">
        <f>B1128</f>
        <v>M0401G1917N</v>
      </c>
      <c r="C1972" s="490" t="str">
        <f t="shared" ref="C1972:K1973" si="337">C1128</f>
        <v>RECUPERAÇÃO DA INFRA-ESTRUTURA DAS UNIDADES ACADÊMICAS</v>
      </c>
      <c r="D1972" s="483">
        <f t="shared" si="337"/>
        <v>8100</v>
      </c>
      <c r="E1972" s="484">
        <f t="shared" si="337"/>
        <v>108288</v>
      </c>
      <c r="F1972" s="526" t="str">
        <f t="shared" si="337"/>
        <v>ICSA</v>
      </c>
      <c r="G1972" s="488" t="str">
        <f t="shared" si="337"/>
        <v>Ambiente Físico Modernizado/ Recuperado</v>
      </c>
      <c r="H1972" s="489">
        <f t="shared" si="337"/>
        <v>1</v>
      </c>
      <c r="I1972" s="473">
        <f t="shared" si="337"/>
        <v>27000</v>
      </c>
      <c r="J1972" s="473">
        <f t="shared" si="337"/>
        <v>32904</v>
      </c>
      <c r="K1972" s="473">
        <f t="shared" si="337"/>
        <v>59904</v>
      </c>
      <c r="L1972" s="167">
        <f>L1128</f>
        <v>27000</v>
      </c>
      <c r="M1972" s="167">
        <f>M1128</f>
        <v>32904</v>
      </c>
      <c r="N1972" s="167">
        <f>N1128</f>
        <v>59904</v>
      </c>
      <c r="O1972" s="405"/>
      <c r="P1972" s="405"/>
    </row>
    <row r="1973" spans="1:16" ht="54.75" hidden="1" customHeight="1">
      <c r="A1973" s="273"/>
      <c r="B1973" s="481" t="str">
        <f>B1129</f>
        <v>M0402G1917N</v>
      </c>
      <c r="C1973" s="490" t="str">
        <f t="shared" si="337"/>
        <v>AQUISIÇÃO DE EQUIPAMENTOS PARA AS UNIDADES ACADÊMICAS</v>
      </c>
      <c r="D1973" s="483">
        <f t="shared" si="337"/>
        <v>112</v>
      </c>
      <c r="E1973" s="484">
        <f t="shared" si="337"/>
        <v>108288</v>
      </c>
      <c r="F1973" s="526" t="str">
        <f t="shared" si="337"/>
        <v>ICSA</v>
      </c>
      <c r="G1973" s="488" t="str">
        <f t="shared" si="337"/>
        <v>Aquisição de Equipamento</v>
      </c>
      <c r="H1973" s="489">
        <f t="shared" si="337"/>
        <v>0</v>
      </c>
      <c r="I1973" s="473">
        <f t="shared" si="337"/>
        <v>0</v>
      </c>
      <c r="J1973" s="473">
        <f t="shared" si="337"/>
        <v>0</v>
      </c>
      <c r="K1973" s="473">
        <f t="shared" si="337"/>
        <v>0</v>
      </c>
      <c r="L1973" s="167"/>
      <c r="M1973" s="167"/>
      <c r="N1973" s="167"/>
      <c r="O1973" s="405"/>
      <c r="P1973" s="405"/>
    </row>
    <row r="1974" spans="1:16" ht="54.75" hidden="1" customHeight="1">
      <c r="A1974" s="273"/>
      <c r="B1974" s="481" t="str">
        <f>B1156</f>
        <v>M0401G1917N</v>
      </c>
      <c r="C1974" s="490" t="str">
        <f t="shared" ref="C1974:K1975" si="338">C1156</f>
        <v>RECUPERAÇÃO DA INFRA-ESTRUTURA DAS UNIDADES ACADÊMICAS</v>
      </c>
      <c r="D1974" s="483">
        <f t="shared" si="338"/>
        <v>8100</v>
      </c>
      <c r="E1974" s="484">
        <f t="shared" si="338"/>
        <v>108288</v>
      </c>
      <c r="F1974" s="526" t="str">
        <f t="shared" si="338"/>
        <v>ITEC</v>
      </c>
      <c r="G1974" s="488" t="str">
        <f t="shared" si="338"/>
        <v>Ambiente Físico Modernizado/ Recuperado</v>
      </c>
      <c r="H1974" s="489">
        <f t="shared" si="338"/>
        <v>1</v>
      </c>
      <c r="I1974" s="473">
        <f t="shared" si="338"/>
        <v>60000</v>
      </c>
      <c r="J1974" s="473">
        <f t="shared" si="338"/>
        <v>36331</v>
      </c>
      <c r="K1974" s="473">
        <f t="shared" si="338"/>
        <v>96331</v>
      </c>
      <c r="L1974" s="167">
        <f>L1156</f>
        <v>60000</v>
      </c>
      <c r="M1974" s="167">
        <f>M1156</f>
        <v>36331</v>
      </c>
      <c r="N1974" s="167">
        <f>N1156</f>
        <v>96331</v>
      </c>
      <c r="O1974" s="405"/>
      <c r="P1974" s="405"/>
    </row>
    <row r="1975" spans="1:16" ht="54.75" hidden="1" customHeight="1">
      <c r="A1975" s="273"/>
      <c r="B1975" s="481" t="str">
        <f>B1157</f>
        <v>M0402G1917N</v>
      </c>
      <c r="C1975" s="490" t="str">
        <f t="shared" si="338"/>
        <v>AQUISIÇÃO DE EQUIPAMENTOS PARA AS UNIDADES ACADÊMICAS</v>
      </c>
      <c r="D1975" s="483">
        <f t="shared" si="338"/>
        <v>112</v>
      </c>
      <c r="E1975" s="484">
        <f t="shared" si="338"/>
        <v>108288</v>
      </c>
      <c r="F1975" s="526" t="str">
        <f t="shared" si="338"/>
        <v>ITEC</v>
      </c>
      <c r="G1975" s="488" t="str">
        <f t="shared" si="338"/>
        <v>Aquisição de Equipamento</v>
      </c>
      <c r="H1975" s="489">
        <f t="shared" si="338"/>
        <v>0</v>
      </c>
      <c r="I1975" s="473">
        <f t="shared" si="338"/>
        <v>0</v>
      </c>
      <c r="J1975" s="473">
        <f t="shared" si="338"/>
        <v>0</v>
      </c>
      <c r="K1975" s="473">
        <f t="shared" si="338"/>
        <v>0</v>
      </c>
      <c r="L1975" s="167"/>
      <c r="M1975" s="167"/>
      <c r="N1975" s="167"/>
      <c r="O1975" s="405"/>
      <c r="P1975" s="405"/>
    </row>
    <row r="1976" spans="1:16" ht="54.75" hidden="1" customHeight="1">
      <c r="A1976" s="273"/>
      <c r="B1976" s="481" t="str">
        <f>B1183</f>
        <v>M0401G1917N</v>
      </c>
      <c r="C1976" s="490" t="str">
        <f t="shared" ref="C1976:K1979" si="339">C1183</f>
        <v>RECUPERAÇÃO DA INFRA-ESTRUTURA DAS UNIDADES ACADÊMICAS</v>
      </c>
      <c r="D1976" s="483">
        <f t="shared" si="339"/>
        <v>8100</v>
      </c>
      <c r="E1976" s="484">
        <f t="shared" si="339"/>
        <v>108288</v>
      </c>
      <c r="F1976" s="526" t="str">
        <f t="shared" si="339"/>
        <v>ICA</v>
      </c>
      <c r="G1976" s="488" t="str">
        <f t="shared" si="339"/>
        <v>Ambiente Físico Modernizado/ Recuperado</v>
      </c>
      <c r="H1976" s="489">
        <f t="shared" si="339"/>
        <v>1</v>
      </c>
      <c r="I1976" s="473">
        <f t="shared" si="339"/>
        <v>10000</v>
      </c>
      <c r="J1976" s="473">
        <f t="shared" si="339"/>
        <v>15487</v>
      </c>
      <c r="K1976" s="473">
        <f t="shared" si="339"/>
        <v>25487</v>
      </c>
      <c r="L1976" s="167">
        <f>L1183</f>
        <v>10000</v>
      </c>
      <c r="M1976" s="167">
        <f>M1183</f>
        <v>15487</v>
      </c>
      <c r="N1976" s="167">
        <f>N1183</f>
        <v>25487</v>
      </c>
      <c r="O1976" s="405"/>
      <c r="P1976" s="405"/>
    </row>
    <row r="1977" spans="1:16" ht="54.75" hidden="1" customHeight="1">
      <c r="A1977" s="273"/>
      <c r="B1977" s="481" t="str">
        <f>B1184</f>
        <v>M0402G1917N</v>
      </c>
      <c r="C1977" s="490" t="str">
        <f t="shared" si="339"/>
        <v>AQUISIÇÃO DE EQUIPAMENTOS PARA AS UNIDADES ACADÊMICAS</v>
      </c>
      <c r="D1977" s="483">
        <f t="shared" si="339"/>
        <v>100</v>
      </c>
      <c r="E1977" s="484">
        <f t="shared" si="339"/>
        <v>108288</v>
      </c>
      <c r="F1977" s="526" t="str">
        <f t="shared" si="339"/>
        <v>ICA</v>
      </c>
      <c r="G1977" s="488" t="str">
        <f t="shared" si="339"/>
        <v>Aquisição de Equipamento</v>
      </c>
      <c r="H1977" s="489">
        <f t="shared" si="339"/>
        <v>0</v>
      </c>
      <c r="I1977" s="473">
        <f t="shared" si="339"/>
        <v>0</v>
      </c>
      <c r="J1977" s="473">
        <f t="shared" si="339"/>
        <v>0</v>
      </c>
      <c r="K1977" s="473">
        <f t="shared" si="339"/>
        <v>0</v>
      </c>
      <c r="L1977" s="167"/>
      <c r="M1977" s="167"/>
      <c r="N1977" s="167"/>
      <c r="O1977" s="405"/>
      <c r="P1977" s="405"/>
    </row>
    <row r="1978" spans="1:16" ht="54.75" hidden="1" customHeight="1">
      <c r="A1978" s="273"/>
      <c r="B1978" s="481" t="str">
        <f>B1185</f>
        <v>M0403G1917N</v>
      </c>
      <c r="C1978" s="490" t="str">
        <f t="shared" si="339"/>
        <v>AQUISIÇÃO DE EQUIPAMENTOS ETDUFPA</v>
      </c>
      <c r="D1978" s="483">
        <f t="shared" si="339"/>
        <v>8100</v>
      </c>
      <c r="E1978" s="484">
        <f t="shared" si="339"/>
        <v>108288</v>
      </c>
      <c r="F1978" s="526" t="str">
        <f t="shared" si="339"/>
        <v>ETDUFPA</v>
      </c>
      <c r="G1978" s="488" t="str">
        <f t="shared" si="339"/>
        <v>Aquisição de Equipamento</v>
      </c>
      <c r="H1978" s="489">
        <f t="shared" si="339"/>
        <v>1</v>
      </c>
      <c r="I1978" s="473">
        <f t="shared" si="339"/>
        <v>0</v>
      </c>
      <c r="J1978" s="473">
        <f t="shared" si="339"/>
        <v>103439</v>
      </c>
      <c r="K1978" s="473">
        <f t="shared" si="339"/>
        <v>103439</v>
      </c>
      <c r="L1978" s="167"/>
      <c r="M1978" s="167"/>
      <c r="N1978" s="167"/>
      <c r="O1978" s="405"/>
      <c r="P1978" s="405"/>
    </row>
    <row r="1979" spans="1:16" ht="54.75" hidden="1" customHeight="1">
      <c r="A1979" s="273"/>
      <c r="B1979" s="481" t="str">
        <f>B1186</f>
        <v>M0404G1917N</v>
      </c>
      <c r="C1979" s="490" t="str">
        <f t="shared" si="339"/>
        <v>AQUISIÇÃO DE EQUIPAMENTOS EMUFPA</v>
      </c>
      <c r="D1979" s="483">
        <f t="shared" si="339"/>
        <v>8100</v>
      </c>
      <c r="E1979" s="484">
        <f t="shared" si="339"/>
        <v>108288</v>
      </c>
      <c r="F1979" s="526" t="str">
        <f t="shared" si="339"/>
        <v>EMUFPA</v>
      </c>
      <c r="G1979" s="488" t="str">
        <f t="shared" si="339"/>
        <v>Aquisição de Equipamento</v>
      </c>
      <c r="H1979" s="489">
        <f t="shared" si="339"/>
        <v>1</v>
      </c>
      <c r="I1979" s="473">
        <f t="shared" si="339"/>
        <v>0</v>
      </c>
      <c r="J1979" s="473">
        <f t="shared" si="339"/>
        <v>173537</v>
      </c>
      <c r="K1979" s="473">
        <f t="shared" si="339"/>
        <v>173537</v>
      </c>
      <c r="L1979" s="167"/>
      <c r="M1979" s="167"/>
      <c r="N1979" s="167"/>
      <c r="O1979" s="405"/>
      <c r="P1979" s="405"/>
    </row>
    <row r="1980" spans="1:16" ht="54.75" hidden="1" customHeight="1">
      <c r="A1980" s="273"/>
      <c r="B1980" s="481" t="str">
        <f>B1230</f>
        <v>M0401G1917N</v>
      </c>
      <c r="C1980" s="490" t="str">
        <f t="shared" ref="C1980:K1980" si="340">C1230</f>
        <v>RECUPERAÇÃO DA INFRA-ESTRUTURA DAS UNIDADES ACADÊMICAS</v>
      </c>
      <c r="D1980" s="483">
        <f t="shared" si="340"/>
        <v>8100</v>
      </c>
      <c r="E1980" s="484">
        <f t="shared" si="340"/>
        <v>108288</v>
      </c>
      <c r="F1980" s="526" t="str">
        <f t="shared" si="340"/>
        <v>IECOS</v>
      </c>
      <c r="G1980" s="488" t="str">
        <f t="shared" si="340"/>
        <v>Aquisição de Equipamento</v>
      </c>
      <c r="H1980" s="489">
        <f t="shared" si="340"/>
        <v>1</v>
      </c>
      <c r="I1980" s="473">
        <f t="shared" si="340"/>
        <v>0</v>
      </c>
      <c r="J1980" s="473">
        <f t="shared" si="340"/>
        <v>3750</v>
      </c>
      <c r="K1980" s="473">
        <f t="shared" si="340"/>
        <v>3750</v>
      </c>
      <c r="L1980" s="167"/>
      <c r="M1980" s="167"/>
      <c r="N1980" s="167"/>
      <c r="O1980" s="405"/>
      <c r="P1980" s="405"/>
    </row>
    <row r="1981" spans="1:16" ht="54.75" hidden="1" customHeight="1">
      <c r="A1981" s="273"/>
      <c r="B1981" s="481" t="str">
        <f>B1258</f>
        <v>M0401G1917N</v>
      </c>
      <c r="C1981" s="490" t="str">
        <f>C1258</f>
        <v>RECUPERAÇÃO DA INFRA-ESTRUTURA DAS UNIDADES ACADÊMICAS</v>
      </c>
      <c r="D1981" s="483">
        <f>D1258</f>
        <v>8100</v>
      </c>
      <c r="E1981" s="484">
        <f>E1258</f>
        <v>108288</v>
      </c>
      <c r="F1981" s="526" t="str">
        <f>F1258</f>
        <v>IEMCI</v>
      </c>
      <c r="G1981" s="488" t="s">
        <v>803</v>
      </c>
      <c r="H1981" s="489">
        <f t="shared" ref="H1981:N1981" si="341">H1258</f>
        <v>1</v>
      </c>
      <c r="I1981" s="473">
        <f t="shared" si="341"/>
        <v>5000</v>
      </c>
      <c r="J1981" s="473">
        <f t="shared" si="341"/>
        <v>9377</v>
      </c>
      <c r="K1981" s="473">
        <f t="shared" si="341"/>
        <v>14377</v>
      </c>
      <c r="L1981" s="167">
        <f t="shared" si="341"/>
        <v>5000</v>
      </c>
      <c r="M1981" s="167">
        <f t="shared" si="341"/>
        <v>9377</v>
      </c>
      <c r="N1981" s="167">
        <f t="shared" si="341"/>
        <v>14377</v>
      </c>
      <c r="O1981" s="405"/>
      <c r="P1981" s="405"/>
    </row>
    <row r="1982" spans="1:16" ht="54.75" hidden="1" customHeight="1">
      <c r="A1982" s="273"/>
      <c r="B1982" s="481" t="str">
        <f>B1259</f>
        <v>M0402G1917N</v>
      </c>
      <c r="C1982" s="490" t="str">
        <f t="shared" ref="C1982:K1982" si="342">C1259</f>
        <v>AQUISIÇÃO DE EQUIPAMENTOS PARA AS UNIDADES ACADÊMICAS</v>
      </c>
      <c r="D1982" s="483">
        <f t="shared" si="342"/>
        <v>112</v>
      </c>
      <c r="E1982" s="484">
        <f t="shared" si="342"/>
        <v>108288</v>
      </c>
      <c r="F1982" s="526" t="str">
        <f t="shared" si="342"/>
        <v>IEMCI</v>
      </c>
      <c r="G1982" s="488" t="str">
        <f t="shared" si="342"/>
        <v>Aquisição de Equipamento</v>
      </c>
      <c r="H1982" s="489">
        <f t="shared" si="342"/>
        <v>0</v>
      </c>
      <c r="I1982" s="473">
        <f t="shared" si="342"/>
        <v>0</v>
      </c>
      <c r="J1982" s="473">
        <f t="shared" si="342"/>
        <v>0</v>
      </c>
      <c r="K1982" s="473">
        <f t="shared" si="342"/>
        <v>0</v>
      </c>
      <c r="L1982" s="167"/>
      <c r="M1982" s="167"/>
      <c r="N1982" s="167"/>
      <c r="O1982" s="405"/>
      <c r="P1982" s="405"/>
    </row>
    <row r="1983" spans="1:16" ht="54.75" hidden="1" customHeight="1">
      <c r="A1983" s="527"/>
      <c r="B1983" s="528"/>
      <c r="C1983" s="529"/>
      <c r="D1983" s="530"/>
      <c r="E1983" s="531"/>
      <c r="F1983" s="532"/>
      <c r="G1983" s="533"/>
      <c r="H1983" s="534"/>
      <c r="I1983" s="535"/>
      <c r="J1983" s="535"/>
      <c r="K1983" s="535"/>
      <c r="L1983" s="536"/>
      <c r="M1983" s="536"/>
      <c r="N1983" s="536"/>
      <c r="O1983" s="405"/>
      <c r="P1983" s="405"/>
    </row>
    <row r="1984" spans="1:16" ht="54.75" hidden="1" customHeight="1">
      <c r="A1984" s="527"/>
      <c r="B1984" s="528"/>
      <c r="C1984" s="529"/>
      <c r="D1984" s="530"/>
      <c r="E1984" s="531"/>
      <c r="F1984" s="532"/>
      <c r="G1984" s="533"/>
      <c r="H1984" s="534"/>
      <c r="I1984" s="535"/>
      <c r="J1984" s="535"/>
      <c r="K1984" s="535"/>
      <c r="L1984" s="536"/>
      <c r="M1984" s="536"/>
      <c r="N1984" s="536"/>
      <c r="O1984" s="405"/>
      <c r="P1984" s="405"/>
    </row>
    <row r="1985" spans="1:20" ht="35.25" hidden="1" customHeight="1">
      <c r="A1985" s="27"/>
      <c r="B1985" s="27"/>
      <c r="C1985" s="1204" t="s">
        <v>51</v>
      </c>
      <c r="D1985" s="1204"/>
      <c r="E1985" s="1204"/>
      <c r="F1985" s="1204"/>
      <c r="O1985" s="27"/>
      <c r="P1985" s="27"/>
      <c r="Q1985" s="620"/>
      <c r="R1985" s="27"/>
      <c r="S1985" s="27"/>
      <c r="T1985" s="27"/>
    </row>
    <row r="1986" spans="1:20" ht="35.25" hidden="1" customHeight="1">
      <c r="A1986" s="27"/>
      <c r="B1986" s="27"/>
      <c r="C1986" s="1204" t="s">
        <v>52</v>
      </c>
      <c r="D1986" s="1204"/>
      <c r="E1986" s="1204"/>
      <c r="F1986" s="1204"/>
      <c r="O1986" s="27"/>
      <c r="P1986" s="27"/>
      <c r="Q1986" s="620"/>
      <c r="R1986" s="27"/>
      <c r="S1986" s="27"/>
      <c r="T1986" s="27"/>
    </row>
    <row r="1987" spans="1:20" ht="35.25" hidden="1" customHeight="1">
      <c r="A1987" s="27"/>
      <c r="B1987" s="27"/>
      <c r="C1987" s="1204" t="s">
        <v>50</v>
      </c>
      <c r="D1987" s="1204"/>
      <c r="E1987" s="1204"/>
      <c r="F1987" s="1204"/>
      <c r="O1987" s="27"/>
      <c r="P1987" s="27"/>
      <c r="Q1987" s="620"/>
      <c r="R1987" s="27"/>
      <c r="S1987" s="27"/>
      <c r="T1987" s="27"/>
    </row>
    <row r="1988" spans="1:20" ht="20.100000000000001" hidden="1" customHeight="1">
      <c r="A1988" s="27"/>
      <c r="B1988" s="27"/>
      <c r="F1988" s="27"/>
      <c r="O1988" s="27"/>
      <c r="P1988" s="27"/>
      <c r="Q1988" s="620"/>
      <c r="R1988" s="27"/>
      <c r="S1988" s="27"/>
      <c r="T1988" s="27"/>
    </row>
    <row r="1989" spans="1:20" ht="20.100000000000001" hidden="1" customHeight="1">
      <c r="A1989" s="27"/>
      <c r="B1989" s="27"/>
      <c r="F1989" s="27"/>
      <c r="O1989" s="27"/>
      <c r="P1989" s="27"/>
      <c r="Q1989" s="620"/>
      <c r="R1989" s="27"/>
      <c r="S1989" s="27"/>
      <c r="T1989" s="27"/>
    </row>
    <row r="1990" spans="1:20" ht="30" hidden="1" customHeight="1">
      <c r="A1990" s="27"/>
      <c r="B1990" s="27"/>
      <c r="F1990" s="27"/>
      <c r="O1990" s="27"/>
      <c r="P1990" s="27"/>
      <c r="Q1990" s="620"/>
      <c r="R1990" s="27"/>
      <c r="S1990" s="27"/>
      <c r="T1990" s="27"/>
    </row>
    <row r="1991" spans="1:20" ht="30" hidden="1" customHeight="1">
      <c r="A1991" s="349" t="s">
        <v>1060</v>
      </c>
      <c r="B1991" s="1226" t="s">
        <v>1061</v>
      </c>
      <c r="C1991" s="1226"/>
      <c r="D1991" s="1226"/>
      <c r="E1991" s="1226"/>
      <c r="F1991" s="1226"/>
      <c r="G1991" s="1226"/>
      <c r="H1991" s="1226"/>
      <c r="I1991" s="1226"/>
      <c r="J1991" s="1226"/>
      <c r="K1991" s="1226"/>
      <c r="L1991" s="349"/>
      <c r="M1991" s="349"/>
      <c r="N1991" s="349"/>
      <c r="O1991" s="27"/>
      <c r="P1991" s="27"/>
      <c r="Q1991" s="620"/>
      <c r="R1991" s="27"/>
      <c r="S1991" s="27"/>
      <c r="T1991" s="27"/>
    </row>
    <row r="1992" spans="1:20" ht="20.100000000000001" hidden="1" customHeight="1">
      <c r="A1992" s="27"/>
      <c r="B1992" s="27"/>
      <c r="F1992" s="27"/>
      <c r="O1992" s="27"/>
      <c r="P1992" s="27"/>
      <c r="Q1992" s="620"/>
      <c r="R1992" s="27"/>
      <c r="S1992" s="27"/>
      <c r="T1992" s="27"/>
    </row>
    <row r="1993" spans="1:20" ht="30" hidden="1" customHeight="1">
      <c r="A1993" s="27"/>
      <c r="B1993" s="27"/>
      <c r="F1993" s="27"/>
      <c r="O1993" s="27"/>
      <c r="P1993" s="27"/>
      <c r="Q1993" s="620"/>
      <c r="R1993" s="27"/>
      <c r="S1993" s="27"/>
      <c r="T1993" s="27"/>
    </row>
    <row r="1994" spans="1:20" ht="21.95" hidden="1" customHeight="1">
      <c r="A1994" s="356"/>
      <c r="B1994" s="605" t="s">
        <v>546</v>
      </c>
      <c r="C1994" s="356"/>
      <c r="D1994" s="356"/>
      <c r="E1994" s="356"/>
      <c r="F1994" s="356"/>
      <c r="G1994" s="356"/>
      <c r="H1994" s="356"/>
      <c r="I1994" s="356"/>
      <c r="J1994" s="356"/>
      <c r="K1994" s="356"/>
      <c r="L1994" s="356"/>
      <c r="M1994" s="356"/>
      <c r="N1994" s="356"/>
      <c r="O1994" s="27"/>
      <c r="P1994" s="27"/>
      <c r="Q1994" s="620"/>
      <c r="R1994" s="27"/>
      <c r="S1994" s="27"/>
      <c r="T1994" s="27"/>
    </row>
    <row r="1995" spans="1:20" s="500" customFormat="1" ht="90" hidden="1">
      <c r="A1995" s="496" t="s">
        <v>646</v>
      </c>
      <c r="B1995" s="497" t="s">
        <v>1062</v>
      </c>
      <c r="C1995" s="497" t="s">
        <v>37</v>
      </c>
      <c r="D1995" s="497" t="s">
        <v>440</v>
      </c>
      <c r="E1995" s="497" t="s">
        <v>16</v>
      </c>
      <c r="F1995" s="497" t="s">
        <v>185</v>
      </c>
      <c r="G1995" s="497" t="s">
        <v>178</v>
      </c>
      <c r="H1995" s="497" t="s">
        <v>179</v>
      </c>
      <c r="I1995" s="497" t="s">
        <v>180</v>
      </c>
      <c r="J1995" s="497" t="s">
        <v>181</v>
      </c>
      <c r="K1995" s="497" t="s">
        <v>200</v>
      </c>
      <c r="L1995" s="496" t="s">
        <v>180</v>
      </c>
      <c r="M1995" s="496" t="s">
        <v>181</v>
      </c>
      <c r="N1995" s="496" t="s">
        <v>200</v>
      </c>
      <c r="O1995" s="498" t="s">
        <v>200</v>
      </c>
      <c r="P1995" s="498" t="s">
        <v>200</v>
      </c>
      <c r="Q1995" s="622"/>
      <c r="R1995" s="498"/>
      <c r="S1995" s="498"/>
      <c r="T1995" s="499"/>
    </row>
    <row r="1996" spans="1:20" ht="54.75" hidden="1" customHeight="1">
      <c r="A1996" s="273"/>
      <c r="B1996" s="481" t="str">
        <f>B1273</f>
        <v>M0401G1917N</v>
      </c>
      <c r="C1996" s="490" t="str">
        <f t="shared" ref="C1996:K1996" si="343">C1273</f>
        <v>RECUPERAÇÃO DA INFRA-ESTRUTURA DAS UNIDADES ACADÊMICAS</v>
      </c>
      <c r="D1996" s="483">
        <f t="shared" si="343"/>
        <v>8100</v>
      </c>
      <c r="E1996" s="484">
        <f t="shared" si="343"/>
        <v>108288</v>
      </c>
      <c r="F1996" s="526" t="str">
        <f t="shared" si="343"/>
        <v>IMV</v>
      </c>
      <c r="G1996" s="488" t="str">
        <f t="shared" si="343"/>
        <v>Aquisição de Equipamento</v>
      </c>
      <c r="H1996" s="489">
        <f t="shared" si="343"/>
        <v>1</v>
      </c>
      <c r="I1996" s="473">
        <f t="shared" si="343"/>
        <v>0</v>
      </c>
      <c r="J1996" s="473">
        <f t="shared" si="343"/>
        <v>17500</v>
      </c>
      <c r="K1996" s="473">
        <f t="shared" si="343"/>
        <v>17500</v>
      </c>
      <c r="L1996" s="167"/>
      <c r="M1996" s="167"/>
      <c r="N1996" s="167"/>
      <c r="O1996" s="405"/>
      <c r="P1996" s="405"/>
    </row>
    <row r="1997" spans="1:20" ht="54.75" hidden="1" customHeight="1">
      <c r="A1997" s="273"/>
      <c r="B1997" s="481" t="str">
        <f>B1276</f>
        <v>M0405G1917N</v>
      </c>
      <c r="C1997" s="490" t="str">
        <f t="shared" ref="C1997:K1997" si="344">C1276</f>
        <v>AQUISIÇÃO DE EQUIPAMENTOS HOSPITAL VETERINÁRIO</v>
      </c>
      <c r="D1997" s="483">
        <f t="shared" si="344"/>
        <v>8100</v>
      </c>
      <c r="E1997" s="484">
        <f t="shared" si="344"/>
        <v>108288</v>
      </c>
      <c r="F1997" s="526" t="str">
        <f t="shared" si="344"/>
        <v>IMV</v>
      </c>
      <c r="G1997" s="488" t="str">
        <f t="shared" si="344"/>
        <v>Aquisição de Equipamento</v>
      </c>
      <c r="H1997" s="489">
        <f t="shared" si="344"/>
        <v>1</v>
      </c>
      <c r="I1997" s="473">
        <f t="shared" si="344"/>
        <v>0</v>
      </c>
      <c r="J1997" s="473">
        <f t="shared" si="344"/>
        <v>50204</v>
      </c>
      <c r="K1997" s="473">
        <f t="shared" si="344"/>
        <v>50204</v>
      </c>
      <c r="L1997" s="167"/>
      <c r="M1997" s="167"/>
      <c r="N1997" s="167"/>
      <c r="O1997" s="405"/>
      <c r="P1997" s="405"/>
    </row>
    <row r="1998" spans="1:20" ht="54.75" hidden="1" customHeight="1">
      <c r="A1998" s="273"/>
      <c r="B1998" s="481" t="str">
        <f>B1295</f>
        <v>M0401G1917N</v>
      </c>
      <c r="C1998" s="490" t="str">
        <f t="shared" ref="C1998:K1999" si="345">C1295</f>
        <v>RECUPERAÇÃO DA INFRA-ESTRUTURA DAS UNIDADES ACADÊMICAS</v>
      </c>
      <c r="D1998" s="483">
        <f t="shared" si="345"/>
        <v>8100</v>
      </c>
      <c r="E1998" s="484">
        <f t="shared" si="345"/>
        <v>108288</v>
      </c>
      <c r="F1998" s="526" t="str">
        <f t="shared" si="345"/>
        <v>INEAF</v>
      </c>
      <c r="G1998" s="488" t="str">
        <f t="shared" si="345"/>
        <v>Área Recuperada/ Reformada</v>
      </c>
      <c r="H1998" s="489">
        <f t="shared" si="345"/>
        <v>1</v>
      </c>
      <c r="I1998" s="473">
        <f t="shared" si="345"/>
        <v>14287</v>
      </c>
      <c r="J1998" s="473">
        <f t="shared" si="345"/>
        <v>4000</v>
      </c>
      <c r="K1998" s="473">
        <f t="shared" si="345"/>
        <v>18287</v>
      </c>
      <c r="L1998" s="167">
        <f>L1309</f>
        <v>18349</v>
      </c>
      <c r="M1998" s="167">
        <f>M1309</f>
        <v>7000</v>
      </c>
      <c r="N1998" s="167">
        <f>N1309</f>
        <v>25349</v>
      </c>
      <c r="O1998" s="405"/>
      <c r="P1998" s="405"/>
    </row>
    <row r="1999" spans="1:20" ht="54.75" hidden="1" customHeight="1">
      <c r="A1999" s="273"/>
      <c r="B1999" s="481" t="str">
        <f>B1296</f>
        <v>M0402G1917N</v>
      </c>
      <c r="C1999" s="490" t="str">
        <f t="shared" si="345"/>
        <v>AQUISIÇÃO DE EQUIPAMENTOS PARA AS UNIDADES ACADÊMICAS</v>
      </c>
      <c r="D1999" s="483">
        <f t="shared" si="345"/>
        <v>112</v>
      </c>
      <c r="E1999" s="484">
        <f t="shared" si="345"/>
        <v>108288</v>
      </c>
      <c r="F1999" s="526" t="str">
        <f t="shared" si="345"/>
        <v>INEAF</v>
      </c>
      <c r="G1999" s="488" t="str">
        <f t="shared" si="345"/>
        <v>Aquisição de Equipamento</v>
      </c>
      <c r="H1999" s="489">
        <f t="shared" si="345"/>
        <v>0</v>
      </c>
      <c r="I1999" s="473">
        <f t="shared" si="345"/>
        <v>0</v>
      </c>
      <c r="J1999" s="473">
        <f t="shared" si="345"/>
        <v>0</v>
      </c>
      <c r="K1999" s="473">
        <f t="shared" si="345"/>
        <v>0</v>
      </c>
      <c r="L1999" s="167"/>
      <c r="M1999" s="167"/>
      <c r="N1999" s="167"/>
      <c r="O1999" s="405"/>
      <c r="P1999" s="405"/>
    </row>
    <row r="2000" spans="1:20" ht="54.75" hidden="1" customHeight="1">
      <c r="A2000" s="273"/>
      <c r="B2000" s="481" t="str">
        <f>B1309</f>
        <v>O0401O1917N</v>
      </c>
      <c r="C2000" s="490" t="str">
        <f t="shared" ref="C2000:K2001" si="346">C1309</f>
        <v>RECUPERAÇÃO DA INFRA-ESTRUTURA DAS UNIDADES ACADÊMICAS</v>
      </c>
      <c r="D2000" s="483">
        <f t="shared" si="346"/>
        <v>8100</v>
      </c>
      <c r="E2000" s="484">
        <f t="shared" si="346"/>
        <v>108288</v>
      </c>
      <c r="F2000" s="526" t="str">
        <f t="shared" si="346"/>
        <v>NAEA</v>
      </c>
      <c r="G2000" s="488" t="str">
        <f t="shared" si="346"/>
        <v>Serviços Realizados</v>
      </c>
      <c r="H2000" s="489">
        <f t="shared" si="346"/>
        <v>1</v>
      </c>
      <c r="I2000" s="473">
        <f t="shared" si="346"/>
        <v>18349</v>
      </c>
      <c r="J2000" s="473">
        <f t="shared" si="346"/>
        <v>7000</v>
      </c>
      <c r="K2000" s="473">
        <f t="shared" si="346"/>
        <v>25349</v>
      </c>
      <c r="L2000" s="167">
        <f>L1295</f>
        <v>14287</v>
      </c>
      <c r="M2000" s="167">
        <f>M1295</f>
        <v>4000</v>
      </c>
      <c r="N2000" s="167">
        <f>N1295</f>
        <v>18287</v>
      </c>
      <c r="O2000" s="405"/>
      <c r="P2000" s="405"/>
    </row>
    <row r="2001" spans="1:16" ht="54.75" hidden="1" customHeight="1">
      <c r="A2001" s="273"/>
      <c r="B2001" s="481" t="str">
        <f>B1310</f>
        <v>O0402O1917N</v>
      </c>
      <c r="C2001" s="490" t="str">
        <f t="shared" si="346"/>
        <v>AQUISIÇÃO DE EQUIPAMENTOS PARA AS UNIDADES ACADÊMICAS</v>
      </c>
      <c r="D2001" s="483">
        <f t="shared" si="346"/>
        <v>112</v>
      </c>
      <c r="E2001" s="484">
        <f t="shared" si="346"/>
        <v>108288</v>
      </c>
      <c r="F2001" s="526" t="str">
        <f t="shared" si="346"/>
        <v>NAEA</v>
      </c>
      <c r="G2001" s="488" t="str">
        <f t="shared" si="346"/>
        <v>Aquisição de Equipamento</v>
      </c>
      <c r="H2001" s="489">
        <f t="shared" si="346"/>
        <v>0</v>
      </c>
      <c r="I2001" s="473">
        <f t="shared" si="346"/>
        <v>0</v>
      </c>
      <c r="J2001" s="473">
        <f t="shared" si="346"/>
        <v>0</v>
      </c>
      <c r="K2001" s="473">
        <f t="shared" si="346"/>
        <v>0</v>
      </c>
      <c r="L2001" s="167"/>
      <c r="M2001" s="167"/>
      <c r="N2001" s="167"/>
      <c r="O2001" s="405"/>
      <c r="P2001" s="405"/>
    </row>
    <row r="2002" spans="1:16" ht="54.75" hidden="1" customHeight="1">
      <c r="A2002" s="273"/>
      <c r="B2002" s="481" t="str">
        <f>B1333</f>
        <v>O0401O1917N</v>
      </c>
      <c r="C2002" s="490" t="str">
        <f t="shared" ref="C2002:K2002" si="347">C1333</f>
        <v>RECUPERAÇÃO DA INFRA-ESTRUTURA DAS UNIDADES ACADÊMICAS</v>
      </c>
      <c r="D2002" s="483">
        <f t="shared" si="347"/>
        <v>8100</v>
      </c>
      <c r="E2002" s="484">
        <f t="shared" si="347"/>
        <v>108288</v>
      </c>
      <c r="F2002" s="526" t="str">
        <f t="shared" si="347"/>
        <v>NDAE</v>
      </c>
      <c r="G2002" s="488" t="str">
        <f t="shared" si="347"/>
        <v>Aquisição de Equipamento</v>
      </c>
      <c r="H2002" s="489">
        <f t="shared" si="347"/>
        <v>1</v>
      </c>
      <c r="I2002" s="473">
        <f t="shared" si="347"/>
        <v>0</v>
      </c>
      <c r="J2002" s="473">
        <f t="shared" si="347"/>
        <v>6500</v>
      </c>
      <c r="K2002" s="473">
        <f t="shared" si="347"/>
        <v>6500</v>
      </c>
      <c r="L2002" s="167"/>
      <c r="M2002" s="167"/>
      <c r="N2002" s="167"/>
      <c r="O2002" s="405"/>
      <c r="P2002" s="405"/>
    </row>
    <row r="2003" spans="1:16" ht="54.75" hidden="1" customHeight="1">
      <c r="A2003" s="273"/>
      <c r="B2003" s="481" t="str">
        <f>B1345</f>
        <v>O0401O1917N</v>
      </c>
      <c r="C2003" s="490" t="str">
        <f>C1345</f>
        <v>RECUPERAÇÃO DA INFRA-ESTRUTURA DAS UNIDADES ACADÊMICAS</v>
      </c>
      <c r="D2003" s="483">
        <f>D1345</f>
        <v>8100</v>
      </c>
      <c r="E2003" s="484">
        <f>E1345</f>
        <v>108288</v>
      </c>
      <c r="F2003" s="526" t="str">
        <f>F1345</f>
        <v>NMT</v>
      </c>
      <c r="G2003" s="488" t="s">
        <v>803</v>
      </c>
      <c r="H2003" s="489">
        <f t="shared" ref="H2003:N2003" si="348">H1345</f>
        <v>1</v>
      </c>
      <c r="I2003" s="473">
        <f t="shared" si="348"/>
        <v>0</v>
      </c>
      <c r="J2003" s="473">
        <f t="shared" si="348"/>
        <v>14377</v>
      </c>
      <c r="K2003" s="473">
        <f t="shared" si="348"/>
        <v>14377</v>
      </c>
      <c r="L2003" s="167">
        <f t="shared" si="348"/>
        <v>0</v>
      </c>
      <c r="M2003" s="167">
        <f t="shared" si="348"/>
        <v>14377</v>
      </c>
      <c r="N2003" s="167">
        <f t="shared" si="348"/>
        <v>14377</v>
      </c>
      <c r="O2003" s="405"/>
      <c r="P2003" s="405"/>
    </row>
    <row r="2004" spans="1:16" ht="54.75" hidden="1" customHeight="1">
      <c r="A2004" s="273"/>
      <c r="B2004" s="481" t="str">
        <f>B1355</f>
        <v>O0401O1917N</v>
      </c>
      <c r="C2004" s="490" t="str">
        <f t="shared" ref="C2004:K2005" si="349">C1355</f>
        <v>RECUPERAÇÃO DA INFRA-ESTRUTURA DAS UNIDADES ACADÊMICAS</v>
      </c>
      <c r="D2004" s="483">
        <f t="shared" si="349"/>
        <v>8100</v>
      </c>
      <c r="E2004" s="484">
        <f t="shared" si="349"/>
        <v>108288</v>
      </c>
      <c r="F2004" s="526" t="str">
        <f t="shared" si="349"/>
        <v>NPO</v>
      </c>
      <c r="G2004" s="488" t="str">
        <f t="shared" si="349"/>
        <v>Ambiente Físico Modernizado/ Recuperado</v>
      </c>
      <c r="H2004" s="489">
        <f t="shared" si="349"/>
        <v>1</v>
      </c>
      <c r="I2004" s="473">
        <f t="shared" si="349"/>
        <v>3000</v>
      </c>
      <c r="J2004" s="473">
        <f t="shared" si="349"/>
        <v>13510</v>
      </c>
      <c r="K2004" s="473">
        <f t="shared" si="349"/>
        <v>16510</v>
      </c>
      <c r="L2004" s="167">
        <f>L1378</f>
        <v>25161</v>
      </c>
      <c r="M2004" s="167">
        <f>M1378</f>
        <v>0</v>
      </c>
      <c r="N2004" s="167">
        <f>N1378</f>
        <v>25161</v>
      </c>
      <c r="O2004" s="405"/>
      <c r="P2004" s="405"/>
    </row>
    <row r="2005" spans="1:16" ht="54.75" hidden="1" customHeight="1">
      <c r="A2005" s="273"/>
      <c r="B2005" s="481" t="str">
        <f>B1356</f>
        <v>O0402O1917N</v>
      </c>
      <c r="C2005" s="490" t="str">
        <f t="shared" si="349"/>
        <v>AQUISIÇÃO DE EQUIPAMENTOS PARA AS UNIDADES ACADÊMICAS</v>
      </c>
      <c r="D2005" s="483">
        <f t="shared" si="349"/>
        <v>112</v>
      </c>
      <c r="E2005" s="484">
        <f t="shared" si="349"/>
        <v>108288</v>
      </c>
      <c r="F2005" s="526" t="str">
        <f t="shared" si="349"/>
        <v>NPO</v>
      </c>
      <c r="G2005" s="488" t="str">
        <f t="shared" si="349"/>
        <v>Aquisição de Equipamento</v>
      </c>
      <c r="H2005" s="489">
        <f t="shared" si="349"/>
        <v>0</v>
      </c>
      <c r="I2005" s="473">
        <f t="shared" si="349"/>
        <v>0</v>
      </c>
      <c r="J2005" s="473">
        <f t="shared" si="349"/>
        <v>0</v>
      </c>
      <c r="K2005" s="473">
        <f t="shared" si="349"/>
        <v>0</v>
      </c>
      <c r="L2005" s="167">
        <f>L1355</f>
        <v>3000</v>
      </c>
      <c r="M2005" s="167">
        <f>M1355</f>
        <v>13510</v>
      </c>
      <c r="N2005" s="167">
        <f>N1355</f>
        <v>16510</v>
      </c>
      <c r="O2005" s="405"/>
      <c r="P2005" s="405"/>
    </row>
    <row r="2006" spans="1:16" ht="54.75" hidden="1" customHeight="1">
      <c r="A2006" s="273"/>
      <c r="B2006" s="481" t="str">
        <f>B1378</f>
        <v>O0401O1917N</v>
      </c>
      <c r="C2006" s="490" t="str">
        <f t="shared" ref="C2006:K2006" si="350">C1378</f>
        <v>RECUPERAÇÃO DA INFRA-ESTRUTURA DAS UNIDADES ACADÊMICAS</v>
      </c>
      <c r="D2006" s="483">
        <f t="shared" si="350"/>
        <v>8100</v>
      </c>
      <c r="E2006" s="484">
        <f t="shared" si="350"/>
        <v>108288</v>
      </c>
      <c r="F2006" s="526" t="str">
        <f t="shared" si="350"/>
        <v>NUMA</v>
      </c>
      <c r="G2006" s="488" t="str">
        <f t="shared" si="350"/>
        <v>Ambiente Físico Modernizado/ Recuperado</v>
      </c>
      <c r="H2006" s="489">
        <f t="shared" si="350"/>
        <v>1</v>
      </c>
      <c r="I2006" s="473">
        <f t="shared" si="350"/>
        <v>25161</v>
      </c>
      <c r="J2006" s="473">
        <f t="shared" si="350"/>
        <v>0</v>
      </c>
      <c r="K2006" s="473">
        <f t="shared" si="350"/>
        <v>25161</v>
      </c>
      <c r="L2006" s="167"/>
      <c r="M2006" s="167"/>
      <c r="N2006" s="167"/>
      <c r="O2006" s="405"/>
      <c r="P2006" s="405"/>
    </row>
    <row r="2007" spans="1:16" ht="54.75" hidden="1" customHeight="1">
      <c r="A2007" s="273"/>
      <c r="B2007" s="481" t="str">
        <f>B1387</f>
        <v>O0401O1917N</v>
      </c>
      <c r="C2007" s="490" t="str">
        <f t="shared" ref="C2007:K2007" si="351">C1387</f>
        <v>RECUPERAÇÃO DA INFRA-ESTRUTURA DAS UNIDADES ACADÊMICAS</v>
      </c>
      <c r="D2007" s="483">
        <f t="shared" si="351"/>
        <v>8100</v>
      </c>
      <c r="E2007" s="484">
        <f t="shared" si="351"/>
        <v>108288</v>
      </c>
      <c r="F2007" s="526" t="str">
        <f t="shared" si="351"/>
        <v>NTPC</v>
      </c>
      <c r="G2007" s="488" t="str">
        <f t="shared" si="351"/>
        <v>Aquisição de Equipamento</v>
      </c>
      <c r="H2007" s="489">
        <f t="shared" si="351"/>
        <v>1</v>
      </c>
      <c r="I2007" s="473">
        <f t="shared" si="351"/>
        <v>0</v>
      </c>
      <c r="J2007" s="473">
        <f t="shared" si="351"/>
        <v>15010</v>
      </c>
      <c r="K2007" s="473">
        <f t="shared" si="351"/>
        <v>15010</v>
      </c>
      <c r="L2007" s="167"/>
      <c r="M2007" s="167"/>
      <c r="N2007" s="167"/>
      <c r="O2007" s="405"/>
      <c r="P2007" s="405"/>
    </row>
    <row r="2008" spans="1:16" ht="54.75" hidden="1" customHeight="1">
      <c r="A2008" s="273"/>
      <c r="B2008" s="481" t="str">
        <f>B1410</f>
        <v>O0401O1917N</v>
      </c>
      <c r="C2008" s="490" t="str">
        <f t="shared" ref="C2008:K2009" si="352">C1410</f>
        <v>RECUPERAÇÃO DA INFRA-ESTRUTURA DAS UNIDADES ACADÊMICAS</v>
      </c>
      <c r="D2008" s="483">
        <f t="shared" si="352"/>
        <v>8100</v>
      </c>
      <c r="E2008" s="484">
        <f t="shared" si="352"/>
        <v>108288</v>
      </c>
      <c r="F2008" s="526" t="str">
        <f t="shared" si="352"/>
        <v>NITAE2</v>
      </c>
      <c r="G2008" s="488" t="str">
        <f t="shared" si="352"/>
        <v>Ambiente Físico Modernizado/ Recuperado</v>
      </c>
      <c r="H2008" s="489">
        <f t="shared" si="352"/>
        <v>1</v>
      </c>
      <c r="I2008" s="473">
        <f t="shared" si="352"/>
        <v>17500</v>
      </c>
      <c r="J2008" s="473">
        <f t="shared" si="352"/>
        <v>8750</v>
      </c>
      <c r="K2008" s="473">
        <f t="shared" si="352"/>
        <v>26250</v>
      </c>
      <c r="L2008" s="167"/>
      <c r="M2008" s="167"/>
      <c r="N2008" s="167"/>
      <c r="O2008" s="405"/>
      <c r="P2008" s="405"/>
    </row>
    <row r="2009" spans="1:16" ht="54.75" hidden="1" customHeight="1">
      <c r="A2009" s="273"/>
      <c r="B2009" s="481" t="str">
        <f>B1411</f>
        <v>O0402O1917N</v>
      </c>
      <c r="C2009" s="490" t="str">
        <f t="shared" si="352"/>
        <v>AQUISIÇÃO DE EQUIPAMENTOS PARA AS UNIDADES ACADÊMICAS</v>
      </c>
      <c r="D2009" s="483">
        <f t="shared" si="352"/>
        <v>112</v>
      </c>
      <c r="E2009" s="484">
        <f t="shared" si="352"/>
        <v>108288</v>
      </c>
      <c r="F2009" s="526" t="str">
        <f t="shared" si="352"/>
        <v>NITA (AEDI)</v>
      </c>
      <c r="G2009" s="488" t="str">
        <f t="shared" si="352"/>
        <v>Aquisição de Equipamento</v>
      </c>
      <c r="H2009" s="489">
        <f t="shared" si="352"/>
        <v>0</v>
      </c>
      <c r="I2009" s="473">
        <f t="shared" si="352"/>
        <v>0</v>
      </c>
      <c r="J2009" s="473">
        <f t="shared" si="352"/>
        <v>0</v>
      </c>
      <c r="K2009" s="473">
        <f t="shared" si="352"/>
        <v>0</v>
      </c>
      <c r="L2009" s="167"/>
      <c r="M2009" s="167"/>
      <c r="N2009" s="167"/>
      <c r="O2009" s="405"/>
      <c r="P2009" s="405"/>
    </row>
    <row r="2010" spans="1:16" ht="54.75" hidden="1" customHeight="1">
      <c r="A2010" s="273"/>
      <c r="B2010" s="481" t="str">
        <f>B1418</f>
        <v>O0401O1917N</v>
      </c>
      <c r="C2010" s="490" t="str">
        <f t="shared" ref="C2010:K2011" si="353">C1418</f>
        <v>RECUPERAÇÃO DA INFRA-ESTRUTURA DAS UNIDADES ACADÊMICAS</v>
      </c>
      <c r="D2010" s="483">
        <f t="shared" si="353"/>
        <v>8100</v>
      </c>
      <c r="E2010" s="484">
        <f t="shared" si="353"/>
        <v>108288</v>
      </c>
      <c r="F2010" s="526" t="str">
        <f t="shared" si="353"/>
        <v>NEB</v>
      </c>
      <c r="G2010" s="488" t="str">
        <f t="shared" si="353"/>
        <v>Ambiente Físico Modernizado/ Recuperado</v>
      </c>
      <c r="H2010" s="489">
        <f t="shared" si="353"/>
        <v>1</v>
      </c>
      <c r="I2010" s="473">
        <f t="shared" si="353"/>
        <v>17500</v>
      </c>
      <c r="J2010" s="473">
        <f t="shared" si="353"/>
        <v>8750</v>
      </c>
      <c r="K2010" s="473">
        <f t="shared" si="353"/>
        <v>26250</v>
      </c>
      <c r="L2010" s="167"/>
      <c r="M2010" s="167"/>
      <c r="N2010" s="167"/>
      <c r="O2010" s="405"/>
      <c r="P2010" s="405"/>
    </row>
    <row r="2011" spans="1:16" ht="54.75" hidden="1" customHeight="1">
      <c r="A2011" s="273"/>
      <c r="B2011" s="481" t="str">
        <f>B1419</f>
        <v>O0402O1917N</v>
      </c>
      <c r="C2011" s="490" t="str">
        <f t="shared" si="353"/>
        <v>AQUISIÇÃO DE EQUIPAMENTOS PARA AS UNIDADES ACADÊMICAS</v>
      </c>
      <c r="D2011" s="483">
        <f t="shared" si="353"/>
        <v>112</v>
      </c>
      <c r="E2011" s="484">
        <f t="shared" si="353"/>
        <v>108288</v>
      </c>
      <c r="F2011" s="526" t="str">
        <f t="shared" si="353"/>
        <v>NEB</v>
      </c>
      <c r="G2011" s="488" t="str">
        <f t="shared" si="353"/>
        <v>Aquisição de Equipamento</v>
      </c>
      <c r="H2011" s="489">
        <f t="shared" si="353"/>
        <v>0</v>
      </c>
      <c r="I2011" s="473">
        <f t="shared" si="353"/>
        <v>0</v>
      </c>
      <c r="J2011" s="473">
        <f t="shared" si="353"/>
        <v>0</v>
      </c>
      <c r="K2011" s="473">
        <f t="shared" si="353"/>
        <v>0</v>
      </c>
      <c r="L2011" s="167"/>
      <c r="M2011" s="167"/>
      <c r="N2011" s="167"/>
      <c r="O2011" s="405"/>
      <c r="P2011" s="405"/>
    </row>
    <row r="2012" spans="1:16" ht="54.75" hidden="1" customHeight="1">
      <c r="A2012" s="273"/>
      <c r="B2012" s="481" t="str">
        <f>B1439</f>
        <v>M0401G1917N</v>
      </c>
      <c r="C2012" s="490" t="str">
        <f t="shared" ref="C2012:K2013" si="354">C1439</f>
        <v>RECUPERAÇÃO DA INFRA-ESTRUTURA DAS UNIDADES ACADÊMICAS</v>
      </c>
      <c r="D2012" s="483">
        <f t="shared" si="354"/>
        <v>8100</v>
      </c>
      <c r="E2012" s="484">
        <f t="shared" si="354"/>
        <v>108288</v>
      </c>
      <c r="F2012" s="526" t="str">
        <f t="shared" si="354"/>
        <v>C. ABAETETUBA</v>
      </c>
      <c r="G2012" s="488" t="str">
        <f t="shared" si="354"/>
        <v>Ambiente Físico Modernizado/ Recuperado</v>
      </c>
      <c r="H2012" s="489">
        <f t="shared" si="354"/>
        <v>1</v>
      </c>
      <c r="I2012" s="473">
        <f t="shared" si="354"/>
        <v>15395</v>
      </c>
      <c r="J2012" s="473">
        <f t="shared" si="354"/>
        <v>25500</v>
      </c>
      <c r="K2012" s="473">
        <f t="shared" si="354"/>
        <v>40895</v>
      </c>
      <c r="L2012" s="167">
        <f>L1439</f>
        <v>15395</v>
      </c>
      <c r="M2012" s="167">
        <f>M1439</f>
        <v>25500</v>
      </c>
      <c r="N2012" s="167">
        <f>N1439</f>
        <v>40895</v>
      </c>
      <c r="O2012" s="405"/>
      <c r="P2012" s="405"/>
    </row>
    <row r="2013" spans="1:16" ht="54.75" hidden="1" customHeight="1">
      <c r="A2013" s="273"/>
      <c r="B2013" s="481" t="str">
        <f>B1440</f>
        <v>M0402G1917N</v>
      </c>
      <c r="C2013" s="490" t="str">
        <f t="shared" si="354"/>
        <v>AQUISIÇÃO DE EQUIPAMENTOS PARA AS UNIDADES ACADÊMICAS</v>
      </c>
      <c r="D2013" s="483">
        <f t="shared" si="354"/>
        <v>112</v>
      </c>
      <c r="E2013" s="484">
        <f t="shared" si="354"/>
        <v>108288</v>
      </c>
      <c r="F2013" s="526" t="str">
        <f t="shared" si="354"/>
        <v>C. ABAETETUBA</v>
      </c>
      <c r="G2013" s="488" t="str">
        <f t="shared" si="354"/>
        <v>Aquisição de Equipamento</v>
      </c>
      <c r="H2013" s="489">
        <f t="shared" si="354"/>
        <v>0</v>
      </c>
      <c r="I2013" s="473">
        <f t="shared" si="354"/>
        <v>0</v>
      </c>
      <c r="J2013" s="473">
        <f t="shared" si="354"/>
        <v>0</v>
      </c>
      <c r="K2013" s="473">
        <f t="shared" si="354"/>
        <v>0</v>
      </c>
      <c r="L2013" s="167"/>
      <c r="M2013" s="167"/>
      <c r="N2013" s="167"/>
      <c r="O2013" s="405"/>
      <c r="P2013" s="405"/>
    </row>
    <row r="2014" spans="1:16" ht="54.75" hidden="1" customHeight="1">
      <c r="A2014" s="273"/>
      <c r="B2014" s="481" t="str">
        <f>B1471</f>
        <v>M0401G1917N</v>
      </c>
      <c r="C2014" s="490" t="str">
        <f t="shared" ref="C2014:K2015" si="355">C1471</f>
        <v>RECUPERAÇÃO DA INFRA-ESTRUTURA DAS UNIDADES ACADÊMICAS</v>
      </c>
      <c r="D2014" s="483">
        <f t="shared" si="355"/>
        <v>8100</v>
      </c>
      <c r="E2014" s="484">
        <f t="shared" si="355"/>
        <v>108288</v>
      </c>
      <c r="F2014" s="526" t="str">
        <f t="shared" si="355"/>
        <v>C. ALTAMIRA</v>
      </c>
      <c r="G2014" s="488" t="str">
        <f t="shared" si="355"/>
        <v>Ambiente Físico Modernizado/ Recuperado</v>
      </c>
      <c r="H2014" s="489">
        <f t="shared" si="355"/>
        <v>1</v>
      </c>
      <c r="I2014" s="473">
        <f t="shared" si="355"/>
        <v>50000</v>
      </c>
      <c r="J2014" s="473">
        <f t="shared" si="355"/>
        <v>125000</v>
      </c>
      <c r="K2014" s="473">
        <f t="shared" si="355"/>
        <v>175000</v>
      </c>
      <c r="L2014" s="167"/>
      <c r="M2014" s="167"/>
      <c r="N2014" s="167"/>
      <c r="O2014" s="405"/>
      <c r="P2014" s="405"/>
    </row>
    <row r="2015" spans="1:16" ht="54.75" hidden="1" customHeight="1">
      <c r="A2015" s="273"/>
      <c r="B2015" s="481" t="str">
        <f>B1472</f>
        <v>M0402G1917N</v>
      </c>
      <c r="C2015" s="490" t="str">
        <f t="shared" si="355"/>
        <v>AQUISIÇÃO DE EQUIPAMENTOS PARA AS UNIDADES ACADÊMICAS</v>
      </c>
      <c r="D2015" s="483">
        <f t="shared" si="355"/>
        <v>112</v>
      </c>
      <c r="E2015" s="484">
        <f t="shared" si="355"/>
        <v>108288</v>
      </c>
      <c r="F2015" s="526" t="str">
        <f t="shared" si="355"/>
        <v>C. ALTAMIRA</v>
      </c>
      <c r="G2015" s="488" t="str">
        <f t="shared" si="355"/>
        <v>Aquisição de Equipamento</v>
      </c>
      <c r="H2015" s="489">
        <f t="shared" si="355"/>
        <v>0</v>
      </c>
      <c r="I2015" s="473">
        <f t="shared" si="355"/>
        <v>0</v>
      </c>
      <c r="J2015" s="473">
        <f t="shared" si="355"/>
        <v>0</v>
      </c>
      <c r="K2015" s="473">
        <f t="shared" si="355"/>
        <v>0</v>
      </c>
      <c r="L2015" s="167"/>
      <c r="M2015" s="167"/>
      <c r="N2015" s="167"/>
      <c r="O2015" s="405"/>
      <c r="P2015" s="405"/>
    </row>
    <row r="2016" spans="1:16" ht="54.75" hidden="1" customHeight="1">
      <c r="A2016" s="273"/>
      <c r="B2016" s="481" t="str">
        <f>B1499</f>
        <v>M0401G1917N</v>
      </c>
      <c r="C2016" s="490" t="str">
        <f t="shared" ref="C2016:K2017" si="356">C1499</f>
        <v>RECUPERAÇÃO DA INFRA-ESTRUTURA DAS UNIDADES ACADÊMICAS</v>
      </c>
      <c r="D2016" s="483">
        <f t="shared" si="356"/>
        <v>8100</v>
      </c>
      <c r="E2016" s="484">
        <f t="shared" si="356"/>
        <v>108288</v>
      </c>
      <c r="F2016" s="526" t="str">
        <f t="shared" si="356"/>
        <v>C. ANANINDEUA</v>
      </c>
      <c r="G2016" s="488" t="str">
        <f t="shared" si="356"/>
        <v>Ambiente Físico Modernizado/ Recuperado</v>
      </c>
      <c r="H2016" s="489">
        <f t="shared" si="356"/>
        <v>1</v>
      </c>
      <c r="I2016" s="473">
        <f t="shared" si="356"/>
        <v>28000</v>
      </c>
      <c r="J2016" s="473">
        <f t="shared" si="356"/>
        <v>1178</v>
      </c>
      <c r="K2016" s="473">
        <f t="shared" si="356"/>
        <v>29178</v>
      </c>
      <c r="L2016" s="167"/>
      <c r="M2016" s="167"/>
      <c r="N2016" s="167"/>
      <c r="O2016" s="405"/>
      <c r="P2016" s="405"/>
    </row>
    <row r="2017" spans="1:20" ht="54.75" hidden="1" customHeight="1">
      <c r="A2017" s="273"/>
      <c r="B2017" s="481" t="str">
        <f>B1500</f>
        <v>M0402G1917N</v>
      </c>
      <c r="C2017" s="490" t="str">
        <f t="shared" si="356"/>
        <v>AQUISIÇÃO DE EQUIPAMENTOS PARA AS UNIDADES ACADÊMICAS</v>
      </c>
      <c r="D2017" s="483">
        <f t="shared" si="356"/>
        <v>112</v>
      </c>
      <c r="E2017" s="484">
        <f t="shared" si="356"/>
        <v>108288</v>
      </c>
      <c r="F2017" s="526" t="str">
        <f t="shared" si="356"/>
        <v>C. ANANINDEUA</v>
      </c>
      <c r="G2017" s="488" t="str">
        <f t="shared" si="356"/>
        <v>Aquisição de Equipamento</v>
      </c>
      <c r="H2017" s="489">
        <f t="shared" si="356"/>
        <v>0</v>
      </c>
      <c r="I2017" s="473">
        <f t="shared" si="356"/>
        <v>0</v>
      </c>
      <c r="J2017" s="473">
        <f t="shared" si="356"/>
        <v>0</v>
      </c>
      <c r="K2017" s="473">
        <f t="shared" si="356"/>
        <v>0</v>
      </c>
      <c r="L2017" s="167">
        <f>L1499</f>
        <v>28000</v>
      </c>
      <c r="M2017" s="167">
        <f>M1499</f>
        <v>1178</v>
      </c>
      <c r="N2017" s="167">
        <f>N1499</f>
        <v>29178</v>
      </c>
      <c r="O2017" s="405"/>
      <c r="P2017" s="405"/>
    </row>
    <row r="2018" spans="1:20" ht="54.75" hidden="1" customHeight="1">
      <c r="A2018" s="273"/>
      <c r="B2018" s="481" t="str">
        <f>B1516</f>
        <v>M0401G1917N</v>
      </c>
      <c r="C2018" s="490" t="str">
        <f t="shared" ref="C2018:K2019" si="357">C1516</f>
        <v>RECUPERAÇÃO DA INFRA-ESTRUTURA DAS UNIDADES ACADÊMICAS</v>
      </c>
      <c r="D2018" s="483">
        <f t="shared" si="357"/>
        <v>8100</v>
      </c>
      <c r="E2018" s="484">
        <f t="shared" si="357"/>
        <v>108288</v>
      </c>
      <c r="F2018" s="526" t="str">
        <f t="shared" si="357"/>
        <v>C. BRAGANÇA</v>
      </c>
      <c r="G2018" s="488" t="str">
        <f t="shared" si="357"/>
        <v>Funcionamento da Unidade</v>
      </c>
      <c r="H2018" s="489">
        <f t="shared" si="357"/>
        <v>1</v>
      </c>
      <c r="I2018" s="473">
        <f t="shared" si="357"/>
        <v>12681</v>
      </c>
      <c r="J2018" s="473">
        <f t="shared" si="357"/>
        <v>14031</v>
      </c>
      <c r="K2018" s="473">
        <f t="shared" si="357"/>
        <v>26712</v>
      </c>
      <c r="L2018" s="167">
        <f>L1516</f>
        <v>12681</v>
      </c>
      <c r="M2018" s="167">
        <f>M1516</f>
        <v>14031</v>
      </c>
      <c r="N2018" s="167">
        <f>N1516</f>
        <v>26712</v>
      </c>
      <c r="O2018" s="405"/>
      <c r="P2018" s="405"/>
    </row>
    <row r="2019" spans="1:20" ht="54.75" hidden="1" customHeight="1">
      <c r="A2019" s="273"/>
      <c r="B2019" s="481" t="str">
        <f>B1517</f>
        <v>M0402G1917N</v>
      </c>
      <c r="C2019" s="490" t="str">
        <f t="shared" si="357"/>
        <v>AQUISIÇÃO DE EQUIPAMENTOS PARA AS UNIDADES ACADÊMICAS</v>
      </c>
      <c r="D2019" s="483">
        <f t="shared" si="357"/>
        <v>112</v>
      </c>
      <c r="E2019" s="484">
        <f t="shared" si="357"/>
        <v>108288</v>
      </c>
      <c r="F2019" s="526" t="str">
        <f t="shared" si="357"/>
        <v>C. BRAGANÇA</v>
      </c>
      <c r="G2019" s="488" t="str">
        <f t="shared" si="357"/>
        <v>Aquisição de Equipamento</v>
      </c>
      <c r="H2019" s="489">
        <f t="shared" si="357"/>
        <v>0</v>
      </c>
      <c r="I2019" s="473">
        <f t="shared" si="357"/>
        <v>0</v>
      </c>
      <c r="J2019" s="473">
        <f t="shared" si="357"/>
        <v>0</v>
      </c>
      <c r="K2019" s="473">
        <f t="shared" si="357"/>
        <v>0</v>
      </c>
      <c r="L2019" s="167"/>
      <c r="M2019" s="167"/>
      <c r="N2019" s="167"/>
      <c r="O2019" s="405"/>
      <c r="P2019" s="405"/>
    </row>
    <row r="2020" spans="1:20" ht="54.75" hidden="1" customHeight="1">
      <c r="A2020" s="273"/>
      <c r="B2020" s="481" t="str">
        <f>B1548</f>
        <v>M0401G1917N</v>
      </c>
      <c r="C2020" s="490" t="str">
        <f>C1548</f>
        <v>RECUPERAÇÃO DA INFRA-ESTRUTURA DAS UNIDADES ACADÊMICAS</v>
      </c>
      <c r="D2020" s="483">
        <f t="shared" ref="D2020:K2020" si="358">D1548</f>
        <v>8100</v>
      </c>
      <c r="E2020" s="484">
        <f t="shared" si="358"/>
        <v>108288</v>
      </c>
      <c r="F2020" s="526" t="str">
        <f t="shared" si="358"/>
        <v>C. BREVES</v>
      </c>
      <c r="G2020" s="488" t="str">
        <f t="shared" si="358"/>
        <v>Ambiente Físico Modernizado/ Recuperado</v>
      </c>
      <c r="H2020" s="489" t="str">
        <f t="shared" si="358"/>
        <v>86 m²</v>
      </c>
      <c r="I2020" s="473">
        <f t="shared" si="358"/>
        <v>17649</v>
      </c>
      <c r="J2020" s="473">
        <f t="shared" si="358"/>
        <v>2500</v>
      </c>
      <c r="K2020" s="473">
        <f t="shared" si="358"/>
        <v>20149</v>
      </c>
      <c r="L2020" s="167">
        <f>L1548</f>
        <v>17649</v>
      </c>
      <c r="M2020" s="167">
        <f>M1548</f>
        <v>2500</v>
      </c>
      <c r="N2020" s="167">
        <f>N1548</f>
        <v>20149</v>
      </c>
      <c r="O2020" s="405"/>
      <c r="P2020" s="405"/>
    </row>
    <row r="2021" spans="1:20" ht="54.75" hidden="1" customHeight="1">
      <c r="A2021" s="273"/>
      <c r="B2021" s="481" t="str">
        <f>B1549</f>
        <v>M0402G1917N</v>
      </c>
      <c r="C2021" s="490" t="str">
        <f t="shared" ref="C2021:K2021" si="359">C1549</f>
        <v>AQUISIÇÃO DE EQUIPAMENTOS PARA AS UNIDADES ACADÊMICAS</v>
      </c>
      <c r="D2021" s="483">
        <f t="shared" si="359"/>
        <v>112</v>
      </c>
      <c r="E2021" s="484">
        <f t="shared" si="359"/>
        <v>108288</v>
      </c>
      <c r="F2021" s="526" t="str">
        <f t="shared" si="359"/>
        <v>C. BREVES</v>
      </c>
      <c r="G2021" s="488" t="str">
        <f t="shared" si="359"/>
        <v>Aquisição de Equipamento</v>
      </c>
      <c r="H2021" s="489">
        <f t="shared" si="359"/>
        <v>0</v>
      </c>
      <c r="I2021" s="473">
        <f t="shared" si="359"/>
        <v>0</v>
      </c>
      <c r="J2021" s="473">
        <f t="shared" si="359"/>
        <v>0</v>
      </c>
      <c r="K2021" s="473">
        <f t="shared" si="359"/>
        <v>0</v>
      </c>
      <c r="L2021" s="167"/>
      <c r="M2021" s="167"/>
      <c r="N2021" s="167"/>
      <c r="O2021" s="405"/>
      <c r="P2021" s="405"/>
    </row>
    <row r="2022" spans="1:20" ht="54.75" hidden="1" customHeight="1">
      <c r="A2022" s="273"/>
      <c r="B2022" s="481" t="str">
        <f>B1579</f>
        <v>M0401G1917N</v>
      </c>
      <c r="C2022" s="490" t="str">
        <f t="shared" ref="C2022:K2023" si="360">C1579</f>
        <v>RECUPERAÇÃO DA INFRA-ESTRUTURA DAS UNIDADES ACADÊMICAS</v>
      </c>
      <c r="D2022" s="483">
        <f t="shared" si="360"/>
        <v>8100</v>
      </c>
      <c r="E2022" s="484">
        <f t="shared" si="360"/>
        <v>108288</v>
      </c>
      <c r="F2022" s="526" t="str">
        <f t="shared" si="360"/>
        <v>C. CAMETÁ</v>
      </c>
      <c r="G2022" s="488" t="str">
        <f t="shared" si="360"/>
        <v>Ambiente Físico Modernizado/ Recuperado</v>
      </c>
      <c r="H2022" s="489">
        <f t="shared" si="360"/>
        <v>1</v>
      </c>
      <c r="I2022" s="473">
        <f t="shared" si="360"/>
        <v>15000</v>
      </c>
      <c r="J2022" s="473">
        <f t="shared" si="360"/>
        <v>8824</v>
      </c>
      <c r="K2022" s="473">
        <f t="shared" si="360"/>
        <v>23824</v>
      </c>
      <c r="L2022" s="167">
        <f>L1579</f>
        <v>15000</v>
      </c>
      <c r="M2022" s="167">
        <f>M1579</f>
        <v>8824</v>
      </c>
      <c r="N2022" s="167">
        <f>N1579</f>
        <v>23824</v>
      </c>
      <c r="O2022" s="405"/>
      <c r="P2022" s="405"/>
    </row>
    <row r="2023" spans="1:20" ht="54.75" hidden="1" customHeight="1">
      <c r="A2023" s="273"/>
      <c r="B2023" s="481" t="str">
        <f>B1580</f>
        <v>M0402G1917N</v>
      </c>
      <c r="C2023" s="490" t="str">
        <f t="shared" si="360"/>
        <v>AQUISIÇÃO DE EQUIPAMENTOS PARA AS UNIDADES ACADÊMICAS</v>
      </c>
      <c r="D2023" s="483">
        <f t="shared" si="360"/>
        <v>112</v>
      </c>
      <c r="E2023" s="484">
        <f t="shared" si="360"/>
        <v>108288</v>
      </c>
      <c r="F2023" s="526" t="str">
        <f t="shared" si="360"/>
        <v>C. CAMETÁ</v>
      </c>
      <c r="G2023" s="488" t="str">
        <f t="shared" si="360"/>
        <v>Aquisição de Equipamento</v>
      </c>
      <c r="H2023" s="489">
        <f t="shared" si="360"/>
        <v>0</v>
      </c>
      <c r="I2023" s="473">
        <f t="shared" si="360"/>
        <v>0</v>
      </c>
      <c r="J2023" s="473">
        <f t="shared" si="360"/>
        <v>0</v>
      </c>
      <c r="K2023" s="473">
        <f t="shared" si="360"/>
        <v>0</v>
      </c>
      <c r="L2023" s="167"/>
      <c r="M2023" s="167"/>
      <c r="N2023" s="167"/>
      <c r="O2023" s="405"/>
      <c r="P2023" s="405"/>
    </row>
    <row r="2024" spans="1:20" ht="54.75" hidden="1" customHeight="1">
      <c r="A2024" s="273"/>
      <c r="B2024" s="481" t="str">
        <f>B1592</f>
        <v>M0401G1917N</v>
      </c>
      <c r="C2024" s="490" t="str">
        <f t="shared" ref="C2024:K2025" si="361">C1592</f>
        <v>RECUPERAÇÃO DA INFRA-ESTRUTURA DAS UNIDADES ACADÊMICAS</v>
      </c>
      <c r="D2024" s="483">
        <f t="shared" si="361"/>
        <v>8100</v>
      </c>
      <c r="E2024" s="484">
        <f t="shared" si="361"/>
        <v>108288</v>
      </c>
      <c r="F2024" s="526" t="str">
        <f t="shared" si="361"/>
        <v>C. CAPANEMA</v>
      </c>
      <c r="G2024" s="488" t="str">
        <f t="shared" si="361"/>
        <v>Ambiente Físico Modernizado/ Recuperado</v>
      </c>
      <c r="H2024" s="489">
        <f t="shared" si="361"/>
        <v>1</v>
      </c>
      <c r="I2024" s="473">
        <f t="shared" si="361"/>
        <v>20717</v>
      </c>
      <c r="J2024" s="473">
        <f t="shared" si="361"/>
        <v>4653</v>
      </c>
      <c r="K2024" s="473">
        <f t="shared" si="361"/>
        <v>25370</v>
      </c>
      <c r="L2024" s="167">
        <f>L1592</f>
        <v>20717</v>
      </c>
      <c r="M2024" s="167">
        <f>M1592</f>
        <v>4653</v>
      </c>
      <c r="N2024" s="167">
        <f>N1592</f>
        <v>25370</v>
      </c>
      <c r="O2024" s="405"/>
      <c r="P2024" s="405"/>
    </row>
    <row r="2025" spans="1:20" ht="54.75" hidden="1" customHeight="1">
      <c r="A2025" s="273"/>
      <c r="B2025" s="481" t="str">
        <f>B1593</f>
        <v>M0402G1917N</v>
      </c>
      <c r="C2025" s="490" t="str">
        <f t="shared" si="361"/>
        <v>AQUISIÇÃO DE EQUIPAMENTOS PARA AS UNIDADES ACADÊMICAS</v>
      </c>
      <c r="D2025" s="483">
        <f t="shared" si="361"/>
        <v>112</v>
      </c>
      <c r="E2025" s="484">
        <f t="shared" si="361"/>
        <v>108288</v>
      </c>
      <c r="F2025" s="526" t="str">
        <f t="shared" si="361"/>
        <v>C. CAPANEMA</v>
      </c>
      <c r="G2025" s="488" t="str">
        <f t="shared" si="361"/>
        <v>Aquisição de Equipamento</v>
      </c>
      <c r="H2025" s="489">
        <f t="shared" si="361"/>
        <v>0</v>
      </c>
      <c r="I2025" s="473">
        <f t="shared" si="361"/>
        <v>0</v>
      </c>
      <c r="J2025" s="473">
        <f t="shared" si="361"/>
        <v>0</v>
      </c>
      <c r="K2025" s="473">
        <f t="shared" si="361"/>
        <v>0</v>
      </c>
      <c r="L2025" s="167"/>
      <c r="M2025" s="167"/>
      <c r="N2025" s="167"/>
      <c r="O2025" s="405"/>
      <c r="P2025" s="405"/>
    </row>
    <row r="2026" spans="1:20" ht="54.75" hidden="1" customHeight="1">
      <c r="A2026" s="273"/>
      <c r="B2026" s="481" t="str">
        <f>B1622</f>
        <v>M0401G1917N</v>
      </c>
      <c r="C2026" s="490" t="str">
        <f t="shared" ref="C2026:K2026" si="362">C1622</f>
        <v>RECUPERAÇÃO DA INFRA-ESTRUTURA DAS UNIDADES ACADÊMICAS</v>
      </c>
      <c r="D2026" s="483">
        <f t="shared" si="362"/>
        <v>8100</v>
      </c>
      <c r="E2026" s="484">
        <f t="shared" si="362"/>
        <v>108288</v>
      </c>
      <c r="F2026" s="526" t="str">
        <f t="shared" si="362"/>
        <v>C. CASTANHAL</v>
      </c>
      <c r="G2026" s="488" t="str">
        <f t="shared" si="362"/>
        <v>Aquisição de Equipamento</v>
      </c>
      <c r="H2026" s="489">
        <f t="shared" si="362"/>
        <v>1</v>
      </c>
      <c r="I2026" s="473">
        <f t="shared" si="362"/>
        <v>0</v>
      </c>
      <c r="J2026" s="473">
        <f t="shared" si="362"/>
        <v>30278</v>
      </c>
      <c r="K2026" s="473">
        <f t="shared" si="362"/>
        <v>30278</v>
      </c>
      <c r="L2026" s="167"/>
      <c r="M2026" s="167"/>
      <c r="N2026" s="167"/>
      <c r="O2026" s="405"/>
      <c r="P2026" s="405"/>
    </row>
    <row r="2027" spans="1:20" ht="54.75" hidden="1" customHeight="1">
      <c r="A2027" s="273"/>
      <c r="B2027" s="481" t="str">
        <f>B1636</f>
        <v>M0401G1917N</v>
      </c>
      <c r="C2027" s="490" t="str">
        <f t="shared" ref="C2027:K2028" si="363">C1636</f>
        <v>RECUPERAÇÃO DA INFRA-ESTRUTURA DAS UNIDADES ACADÊMICAS</v>
      </c>
      <c r="D2027" s="483">
        <f t="shared" si="363"/>
        <v>8100</v>
      </c>
      <c r="E2027" s="484">
        <f t="shared" si="363"/>
        <v>108288</v>
      </c>
      <c r="F2027" s="526" t="str">
        <f t="shared" si="363"/>
        <v>C. SALINÓPOLIS</v>
      </c>
      <c r="G2027" s="488" t="str">
        <f t="shared" si="363"/>
        <v>Ambiente Físico Modernizado/ Recuperado</v>
      </c>
      <c r="H2027" s="489">
        <f t="shared" si="363"/>
        <v>1</v>
      </c>
      <c r="I2027" s="473">
        <f t="shared" si="363"/>
        <v>16000</v>
      </c>
      <c r="J2027" s="473">
        <f t="shared" si="363"/>
        <v>8178</v>
      </c>
      <c r="K2027" s="473">
        <f t="shared" si="363"/>
        <v>24178</v>
      </c>
      <c r="L2027" s="167">
        <f>L1636</f>
        <v>16000</v>
      </c>
      <c r="M2027" s="167">
        <f>M1636</f>
        <v>8178</v>
      </c>
      <c r="N2027" s="167">
        <f>N1636</f>
        <v>24178</v>
      </c>
      <c r="O2027" s="405"/>
      <c r="P2027" s="405"/>
    </row>
    <row r="2028" spans="1:20" ht="54.75" hidden="1" customHeight="1">
      <c r="A2028" s="273"/>
      <c r="B2028" s="481" t="str">
        <f>B1637</f>
        <v>M0402G1917N</v>
      </c>
      <c r="C2028" s="490" t="str">
        <f t="shared" si="363"/>
        <v>AQUISIÇÃO DE EQUIPAMENTOS PARA AS UNIDADES ACADÊMICAS</v>
      </c>
      <c r="D2028" s="483">
        <f t="shared" si="363"/>
        <v>112</v>
      </c>
      <c r="E2028" s="484">
        <f t="shared" si="363"/>
        <v>108288</v>
      </c>
      <c r="F2028" s="526" t="str">
        <f t="shared" si="363"/>
        <v>C. SALINÓPOLIS</v>
      </c>
      <c r="G2028" s="488" t="str">
        <f t="shared" si="363"/>
        <v>Aquisição de Equipamento</v>
      </c>
      <c r="H2028" s="489">
        <f t="shared" si="363"/>
        <v>0</v>
      </c>
      <c r="I2028" s="473">
        <f t="shared" si="363"/>
        <v>0</v>
      </c>
      <c r="J2028" s="473">
        <f t="shared" si="363"/>
        <v>0</v>
      </c>
      <c r="K2028" s="473">
        <f t="shared" si="363"/>
        <v>0</v>
      </c>
      <c r="L2028" s="167"/>
      <c r="M2028" s="167"/>
      <c r="N2028" s="167"/>
      <c r="O2028" s="405"/>
      <c r="P2028" s="405"/>
    </row>
    <row r="2029" spans="1:20" ht="54.75" hidden="1" customHeight="1">
      <c r="A2029" s="273"/>
      <c r="B2029" s="481" t="str">
        <f>B1666</f>
        <v>M0401G1917N</v>
      </c>
      <c r="C2029" s="490" t="str">
        <f t="shared" ref="C2029:K2030" si="364">C1666</f>
        <v>RECUPERAÇÃO DA INFRA-ESTRUTURA DAS UNIDADES ACADÊMICAS</v>
      </c>
      <c r="D2029" s="483">
        <f t="shared" si="364"/>
        <v>8100</v>
      </c>
      <c r="E2029" s="484">
        <f t="shared" si="364"/>
        <v>108288</v>
      </c>
      <c r="F2029" s="526" t="str">
        <f t="shared" si="364"/>
        <v>C. SOURE</v>
      </c>
      <c r="G2029" s="488" t="str">
        <f t="shared" si="364"/>
        <v>Ambiente Físico Modernizado/ Recuperado</v>
      </c>
      <c r="H2029" s="489">
        <f t="shared" si="364"/>
        <v>1</v>
      </c>
      <c r="I2029" s="473">
        <f t="shared" si="364"/>
        <v>20650</v>
      </c>
      <c r="J2029" s="473">
        <f t="shared" si="364"/>
        <v>3000</v>
      </c>
      <c r="K2029" s="473">
        <f t="shared" si="364"/>
        <v>23650</v>
      </c>
      <c r="L2029" s="167">
        <f>L1666</f>
        <v>20650</v>
      </c>
      <c r="M2029" s="167">
        <f>M1666</f>
        <v>3000</v>
      </c>
      <c r="N2029" s="167">
        <f>N1666</f>
        <v>23650</v>
      </c>
      <c r="O2029" s="405"/>
      <c r="P2029" s="405"/>
    </row>
    <row r="2030" spans="1:20" ht="54.75" hidden="1" customHeight="1">
      <c r="A2030" s="273"/>
      <c r="B2030" s="481" t="str">
        <f>B1667</f>
        <v>M0402G1917N</v>
      </c>
      <c r="C2030" s="490" t="str">
        <f t="shared" si="364"/>
        <v>AQUISIÇÃO DE EQUIPAMENTOS PARA AS UNIDADES ACADÊMICAS</v>
      </c>
      <c r="D2030" s="483">
        <f t="shared" si="364"/>
        <v>112</v>
      </c>
      <c r="E2030" s="484">
        <f t="shared" si="364"/>
        <v>108288</v>
      </c>
      <c r="F2030" s="526" t="str">
        <f t="shared" si="364"/>
        <v>C. SOURE</v>
      </c>
      <c r="G2030" s="488" t="str">
        <f t="shared" si="364"/>
        <v>Aquisição de Equipamento</v>
      </c>
      <c r="H2030" s="489">
        <f t="shared" si="364"/>
        <v>0</v>
      </c>
      <c r="I2030" s="473">
        <f t="shared" si="364"/>
        <v>0</v>
      </c>
      <c r="J2030" s="473">
        <f t="shared" si="364"/>
        <v>0</v>
      </c>
      <c r="K2030" s="473">
        <f t="shared" si="364"/>
        <v>0</v>
      </c>
      <c r="L2030" s="167"/>
      <c r="M2030" s="167"/>
      <c r="N2030" s="167"/>
      <c r="O2030" s="405"/>
      <c r="P2030" s="405"/>
    </row>
    <row r="2031" spans="1:20" ht="54.75" hidden="1" customHeight="1">
      <c r="A2031" s="273"/>
      <c r="B2031" s="481" t="str">
        <f>B1681</f>
        <v>M0401G1917N</v>
      </c>
      <c r="C2031" s="490" t="str">
        <f t="shared" ref="C2031:K2031" si="365">C1681</f>
        <v>RECUPERAÇÃO DA INFRA-ESTRUTURA DAS UNIDADES ACADÊMICAS</v>
      </c>
      <c r="D2031" s="483">
        <f t="shared" si="365"/>
        <v>8100</v>
      </c>
      <c r="E2031" s="484">
        <f t="shared" si="365"/>
        <v>108288</v>
      </c>
      <c r="F2031" s="526" t="str">
        <f t="shared" si="365"/>
        <v>C. TUCURUÍ</v>
      </c>
      <c r="G2031" s="488" t="str">
        <f t="shared" si="365"/>
        <v>Aquisição de Equipamento</v>
      </c>
      <c r="H2031" s="489">
        <f t="shared" si="365"/>
        <v>1</v>
      </c>
      <c r="I2031" s="473">
        <f t="shared" si="365"/>
        <v>0</v>
      </c>
      <c r="J2031" s="473">
        <f t="shared" si="365"/>
        <v>23895</v>
      </c>
      <c r="K2031" s="473">
        <f t="shared" si="365"/>
        <v>23895</v>
      </c>
      <c r="L2031" s="167" t="e">
        <f>#REF!</f>
        <v>#REF!</v>
      </c>
      <c r="M2031" s="167" t="e">
        <f>#REF!</f>
        <v>#REF!</v>
      </c>
      <c r="N2031" s="167" t="e">
        <f>#REF!</f>
        <v>#REF!</v>
      </c>
      <c r="O2031" s="405"/>
      <c r="P2031" s="405"/>
    </row>
    <row r="2032" spans="1:20" s="472" customFormat="1" ht="45" hidden="1" customHeight="1">
      <c r="A2032" s="478" t="s">
        <v>200</v>
      </c>
      <c r="B2032" s="1263" t="s">
        <v>200</v>
      </c>
      <c r="C2032" s="1264"/>
      <c r="D2032" s="1264"/>
      <c r="E2032" s="1264"/>
      <c r="F2032" s="1264"/>
      <c r="G2032" s="1264"/>
      <c r="H2032" s="1265"/>
      <c r="I2032" s="479">
        <f>SUM(I2018:I2031)+SUM(I1996:I2017)+SUM(I1956:I1982)</f>
        <v>804006</v>
      </c>
      <c r="J2032" s="479">
        <f>SUM(J2018:J2031)+SUM(J1996:J2017)+SUM(J1956:J1982)</f>
        <v>1162641</v>
      </c>
      <c r="K2032" s="479">
        <f>I2032+J2032</f>
        <v>1966647</v>
      </c>
      <c r="L2032" s="480" t="e">
        <f>SUM(L1956:L2017,L2018:L2031)</f>
        <v>#REF!</v>
      </c>
      <c r="M2032" s="480" t="e">
        <f>SUM(M1956:M2017,M2018:M2031)</f>
        <v>#REF!</v>
      </c>
      <c r="N2032" s="480" t="e">
        <f>SUM(N1956:N2017,N2018:N2031)</f>
        <v>#REF!</v>
      </c>
      <c r="O2032" s="470">
        <f>N110</f>
        <v>1972397</v>
      </c>
      <c r="P2032" s="470" t="e">
        <f>N2032-O2032</f>
        <v>#REF!</v>
      </c>
      <c r="Q2032" s="622"/>
      <c r="R2032" s="470"/>
      <c r="S2032" s="470"/>
      <c r="T2032" s="471"/>
    </row>
    <row r="2033" spans="1:20" ht="30" hidden="1" customHeight="1">
      <c r="A2033" s="27"/>
      <c r="B2033" s="27"/>
      <c r="F2033" s="27"/>
      <c r="P2033" s="27"/>
      <c r="Q2033" s="620"/>
      <c r="R2033" s="27"/>
      <c r="S2033" s="27"/>
      <c r="T2033" s="27"/>
    </row>
    <row r="2034" spans="1:20" ht="17.100000000000001" hidden="1" customHeight="1">
      <c r="A2034" s="27"/>
      <c r="B2034" s="27"/>
      <c r="F2034" s="27"/>
      <c r="O2034" s="27"/>
      <c r="P2034" s="27"/>
      <c r="Q2034" s="620"/>
      <c r="R2034" s="27"/>
      <c r="S2034" s="27"/>
      <c r="T2034" s="27"/>
    </row>
    <row r="2035" spans="1:20" ht="27.75" hidden="1" customHeight="1">
      <c r="A2035" s="27"/>
      <c r="B2035" s="27"/>
      <c r="C2035" s="1204" t="s">
        <v>51</v>
      </c>
      <c r="D2035" s="1204"/>
      <c r="E2035" s="1204"/>
      <c r="F2035" s="1204"/>
      <c r="P2035" s="27"/>
      <c r="Q2035" s="620"/>
      <c r="R2035" s="27"/>
      <c r="S2035" s="27"/>
      <c r="T2035" s="27"/>
    </row>
    <row r="2036" spans="1:20" ht="27.75" hidden="1" customHeight="1">
      <c r="A2036" s="27"/>
      <c r="B2036" s="27"/>
      <c r="C2036" s="1204" t="s">
        <v>52</v>
      </c>
      <c r="D2036" s="1204"/>
      <c r="E2036" s="1204"/>
      <c r="F2036" s="1204"/>
      <c r="P2036" s="27"/>
      <c r="Q2036" s="620"/>
      <c r="R2036" s="27"/>
      <c r="S2036" s="27"/>
      <c r="T2036" s="27"/>
    </row>
    <row r="2037" spans="1:20" ht="27.75" hidden="1" customHeight="1">
      <c r="A2037" s="27"/>
      <c r="B2037" s="27"/>
      <c r="C2037" s="1204" t="s">
        <v>50</v>
      </c>
      <c r="D2037" s="1204"/>
      <c r="E2037" s="1204"/>
      <c r="F2037" s="1204"/>
      <c r="P2037" s="27"/>
      <c r="Q2037" s="620"/>
      <c r="R2037" s="27"/>
      <c r="S2037" s="27"/>
      <c r="T2037" s="27"/>
    </row>
    <row r="2038" spans="1:20" ht="21.95" hidden="1" customHeight="1">
      <c r="A2038" s="27"/>
      <c r="B2038" s="27"/>
      <c r="F2038" s="27"/>
      <c r="P2038" s="27"/>
      <c r="Q2038" s="620"/>
      <c r="R2038" s="27"/>
      <c r="S2038" s="27"/>
      <c r="T2038" s="27"/>
    </row>
    <row r="2039" spans="1:20" ht="30" hidden="1" customHeight="1">
      <c r="A2039" s="27"/>
      <c r="B2039" s="27"/>
      <c r="F2039" s="27"/>
      <c r="P2039" s="27"/>
      <c r="Q2039" s="620"/>
      <c r="R2039" s="27"/>
      <c r="S2039" s="27"/>
      <c r="T2039" s="27"/>
    </row>
    <row r="2040" spans="1:20" ht="30" hidden="1" customHeight="1">
      <c r="A2040" s="349" t="s">
        <v>1060</v>
      </c>
      <c r="B2040" s="1226" t="s">
        <v>1061</v>
      </c>
      <c r="C2040" s="1226"/>
      <c r="D2040" s="1226"/>
      <c r="E2040" s="1226"/>
      <c r="F2040" s="1226"/>
      <c r="G2040" s="1226"/>
      <c r="H2040" s="1226"/>
      <c r="I2040" s="1226"/>
      <c r="J2040" s="1226"/>
      <c r="K2040" s="1226"/>
      <c r="L2040" s="349"/>
      <c r="M2040" s="349"/>
      <c r="N2040" s="349"/>
      <c r="O2040" s="27"/>
      <c r="P2040" s="27"/>
      <c r="Q2040" s="620"/>
      <c r="R2040" s="27"/>
      <c r="S2040" s="27"/>
      <c r="T2040" s="27"/>
    </row>
    <row r="2041" spans="1:20" ht="30" hidden="1" customHeight="1">
      <c r="A2041" s="46"/>
      <c r="B2041" s="46"/>
      <c r="C2041" s="46"/>
      <c r="D2041" s="46"/>
      <c r="E2041" s="46"/>
      <c r="F2041" s="46"/>
      <c r="G2041" s="46"/>
      <c r="H2041" s="46"/>
      <c r="I2041" s="46"/>
      <c r="J2041" s="46"/>
      <c r="K2041" s="46"/>
      <c r="L2041" s="46"/>
      <c r="M2041" s="46"/>
      <c r="N2041" s="46"/>
      <c r="P2041" s="27"/>
      <c r="Q2041" s="620"/>
      <c r="R2041" s="27"/>
      <c r="S2041" s="27"/>
      <c r="T2041" s="27"/>
    </row>
    <row r="2042" spans="1:20" ht="33" hidden="1" customHeight="1">
      <c r="A2042" s="356"/>
      <c r="B2042" s="605" t="s">
        <v>353</v>
      </c>
      <c r="C2042" s="356"/>
      <c r="D2042" s="356"/>
      <c r="E2042" s="356"/>
      <c r="F2042" s="356"/>
      <c r="G2042" s="356"/>
      <c r="H2042" s="356"/>
      <c r="I2042" s="356"/>
      <c r="J2042" s="356"/>
      <c r="K2042" s="356"/>
      <c r="L2042" s="356"/>
      <c r="M2042" s="356"/>
      <c r="N2042" s="356"/>
      <c r="O2042" s="27"/>
      <c r="P2042" s="27"/>
      <c r="Q2042" s="620"/>
      <c r="R2042" s="27"/>
      <c r="S2042" s="27"/>
      <c r="T2042" s="27"/>
    </row>
    <row r="2043" spans="1:20" s="500" customFormat="1" ht="90" hidden="1">
      <c r="A2043" s="496" t="s">
        <v>646</v>
      </c>
      <c r="B2043" s="497" t="s">
        <v>1062</v>
      </c>
      <c r="C2043" s="497" t="s">
        <v>37</v>
      </c>
      <c r="D2043" s="497" t="s">
        <v>440</v>
      </c>
      <c r="E2043" s="497" t="s">
        <v>16</v>
      </c>
      <c r="F2043" s="497" t="s">
        <v>185</v>
      </c>
      <c r="G2043" s="497" t="s">
        <v>178</v>
      </c>
      <c r="H2043" s="497" t="s">
        <v>179</v>
      </c>
      <c r="I2043" s="497" t="s">
        <v>180</v>
      </c>
      <c r="J2043" s="497" t="s">
        <v>181</v>
      </c>
      <c r="K2043" s="497" t="s">
        <v>200</v>
      </c>
      <c r="L2043" s="496" t="s">
        <v>180</v>
      </c>
      <c r="M2043" s="496" t="s">
        <v>181</v>
      </c>
      <c r="N2043" s="496" t="s">
        <v>200</v>
      </c>
      <c r="O2043" s="498" t="s">
        <v>200</v>
      </c>
      <c r="P2043" s="498" t="s">
        <v>200</v>
      </c>
      <c r="Q2043" s="622"/>
      <c r="R2043" s="498"/>
      <c r="S2043" s="498"/>
      <c r="T2043" s="499"/>
    </row>
    <row r="2044" spans="1:20" ht="54.75" hidden="1" customHeight="1">
      <c r="A2044" s="273"/>
      <c r="B2044" s="481" t="str">
        <f t="shared" ref="B2044:N2053" si="366">B619</f>
        <v>M0801G2107N</v>
      </c>
      <c r="C2044" s="490" t="str">
        <f t="shared" si="366"/>
        <v>PROGRAMA INSTITUCIONAL DE BOLSAS DE EXTENSÃO</v>
      </c>
      <c r="D2044" s="483">
        <f t="shared" si="366"/>
        <v>8100</v>
      </c>
      <c r="E2044" s="484">
        <f t="shared" si="366"/>
        <v>108288</v>
      </c>
      <c r="F2044" s="526" t="str">
        <f t="shared" si="366"/>
        <v>PROEX</v>
      </c>
      <c r="G2044" s="488" t="str">
        <f t="shared" si="366"/>
        <v>Bolsas Ofertadas</v>
      </c>
      <c r="H2044" s="489">
        <f t="shared" si="366"/>
        <v>350</v>
      </c>
      <c r="I2044" s="473">
        <f t="shared" si="366"/>
        <v>720000</v>
      </c>
      <c r="J2044" s="473">
        <f t="shared" si="366"/>
        <v>0</v>
      </c>
      <c r="K2044" s="473">
        <f t="shared" si="366"/>
        <v>720000</v>
      </c>
      <c r="L2044" s="167">
        <f t="shared" si="366"/>
        <v>720000</v>
      </c>
      <c r="M2044" s="167">
        <f t="shared" si="366"/>
        <v>0</v>
      </c>
      <c r="N2044" s="167">
        <f t="shared" si="366"/>
        <v>720000</v>
      </c>
      <c r="O2044" s="405"/>
      <c r="P2044" s="405"/>
    </row>
    <row r="2045" spans="1:20" ht="54.75" hidden="1" customHeight="1">
      <c r="A2045" s="273"/>
      <c r="B2045" s="481" t="str">
        <f t="shared" si="366"/>
        <v>M0802G2107N</v>
      </c>
      <c r="C2045" s="490" t="str">
        <f t="shared" si="366"/>
        <v>XVIII JORNADA DE EXTENSÃO UNIVERSITÁRIA</v>
      </c>
      <c r="D2045" s="483">
        <f t="shared" si="366"/>
        <v>8100</v>
      </c>
      <c r="E2045" s="484">
        <f t="shared" si="366"/>
        <v>108288</v>
      </c>
      <c r="F2045" s="526" t="str">
        <f t="shared" si="366"/>
        <v>PROEX</v>
      </c>
      <c r="G2045" s="488" t="str">
        <f t="shared" si="366"/>
        <v>Alunos Atendidos</v>
      </c>
      <c r="H2045" s="489">
        <f t="shared" si="366"/>
        <v>800</v>
      </c>
      <c r="I2045" s="473">
        <f t="shared" si="366"/>
        <v>35000</v>
      </c>
      <c r="J2045" s="473">
        <f t="shared" si="366"/>
        <v>0</v>
      </c>
      <c r="K2045" s="473">
        <f t="shared" si="366"/>
        <v>35000</v>
      </c>
      <c r="L2045" s="167">
        <f t="shared" si="366"/>
        <v>35000</v>
      </c>
      <c r="M2045" s="167">
        <f t="shared" si="366"/>
        <v>0</v>
      </c>
      <c r="N2045" s="167">
        <f t="shared" si="366"/>
        <v>35000</v>
      </c>
      <c r="O2045" s="405"/>
      <c r="P2045" s="405"/>
    </row>
    <row r="2046" spans="1:20" ht="54.75" hidden="1" customHeight="1">
      <c r="A2046" s="273"/>
      <c r="B2046" s="481" t="str">
        <f t="shared" si="366"/>
        <v>M0803G2105N</v>
      </c>
      <c r="C2046" s="490" t="str">
        <f t="shared" si="366"/>
        <v>PROJETO MULTICAMPI ARTES</v>
      </c>
      <c r="D2046" s="483">
        <f t="shared" si="366"/>
        <v>8100</v>
      </c>
      <c r="E2046" s="484">
        <f t="shared" si="366"/>
        <v>108288</v>
      </c>
      <c r="F2046" s="526" t="str">
        <f t="shared" si="366"/>
        <v>PROEX</v>
      </c>
      <c r="G2046" s="488" t="str">
        <f t="shared" si="366"/>
        <v>Pessoa Atendida</v>
      </c>
      <c r="H2046" s="489">
        <f t="shared" si="366"/>
        <v>800</v>
      </c>
      <c r="I2046" s="473">
        <f t="shared" si="366"/>
        <v>310000</v>
      </c>
      <c r="J2046" s="473">
        <f t="shared" si="366"/>
        <v>0</v>
      </c>
      <c r="K2046" s="473">
        <f t="shared" si="366"/>
        <v>310000</v>
      </c>
      <c r="L2046" s="167">
        <f t="shared" si="366"/>
        <v>310000</v>
      </c>
      <c r="M2046" s="167">
        <f t="shared" si="366"/>
        <v>0</v>
      </c>
      <c r="N2046" s="167">
        <f t="shared" si="366"/>
        <v>310000</v>
      </c>
      <c r="O2046" s="405"/>
      <c r="P2046" s="405"/>
    </row>
    <row r="2047" spans="1:20" ht="54.75" hidden="1" customHeight="1">
      <c r="A2047" s="273"/>
      <c r="B2047" s="481" t="str">
        <f t="shared" si="366"/>
        <v>M0805G2107N</v>
      </c>
      <c r="C2047" s="490" t="str">
        <f t="shared" si="366"/>
        <v>AVALIAÇÃO DE EXTENSÃO UNIVERSITÁRIA</v>
      </c>
      <c r="D2047" s="483">
        <f t="shared" si="366"/>
        <v>8100</v>
      </c>
      <c r="E2047" s="484">
        <f t="shared" si="366"/>
        <v>108288</v>
      </c>
      <c r="F2047" s="526" t="str">
        <f t="shared" si="366"/>
        <v>PROEX</v>
      </c>
      <c r="G2047" s="488" t="str">
        <f t="shared" si="366"/>
        <v>Atividades Realizadas</v>
      </c>
      <c r="H2047" s="489">
        <f t="shared" si="366"/>
        <v>500</v>
      </c>
      <c r="I2047" s="473">
        <f t="shared" si="366"/>
        <v>10000</v>
      </c>
      <c r="J2047" s="473">
        <f t="shared" si="366"/>
        <v>0</v>
      </c>
      <c r="K2047" s="473">
        <f t="shared" si="366"/>
        <v>10000</v>
      </c>
      <c r="L2047" s="167">
        <f t="shared" si="366"/>
        <v>10000</v>
      </c>
      <c r="M2047" s="167">
        <f t="shared" si="366"/>
        <v>0</v>
      </c>
      <c r="N2047" s="167">
        <f t="shared" si="366"/>
        <v>10000</v>
      </c>
      <c r="O2047" s="405"/>
      <c r="P2047" s="405"/>
    </row>
    <row r="2048" spans="1:20" ht="54.75" hidden="1" customHeight="1">
      <c r="A2048" s="273"/>
      <c r="B2048" s="481" t="str">
        <f t="shared" si="366"/>
        <v>M0807G2107N</v>
      </c>
      <c r="C2048" s="490" t="str">
        <f t="shared" si="366"/>
        <v>AUXÍLIO A PROGRAMAS E PROJETOS DE EXTENSÃO</v>
      </c>
      <c r="D2048" s="483">
        <f t="shared" si="366"/>
        <v>8100</v>
      </c>
      <c r="E2048" s="484">
        <f t="shared" si="366"/>
        <v>108288</v>
      </c>
      <c r="F2048" s="526" t="str">
        <f t="shared" si="366"/>
        <v>PROEX</v>
      </c>
      <c r="G2048" s="488" t="str">
        <f t="shared" si="366"/>
        <v>Atendimento Realizado</v>
      </c>
      <c r="H2048" s="489">
        <f t="shared" si="366"/>
        <v>150</v>
      </c>
      <c r="I2048" s="473">
        <f t="shared" si="366"/>
        <v>85000</v>
      </c>
      <c r="J2048" s="473">
        <f t="shared" si="366"/>
        <v>0</v>
      </c>
      <c r="K2048" s="473">
        <f t="shared" si="366"/>
        <v>85000</v>
      </c>
      <c r="L2048" s="167">
        <f t="shared" si="366"/>
        <v>85000</v>
      </c>
      <c r="M2048" s="167">
        <f t="shared" si="366"/>
        <v>0</v>
      </c>
      <c r="N2048" s="167">
        <f t="shared" si="366"/>
        <v>85000</v>
      </c>
      <c r="O2048" s="405"/>
      <c r="P2048" s="405"/>
    </row>
    <row r="2049" spans="1:20" ht="54.75" hidden="1" customHeight="1">
      <c r="A2049" s="273"/>
      <c r="B2049" s="481" t="str">
        <f t="shared" si="366"/>
        <v>M0808G2107N</v>
      </c>
      <c r="C2049" s="490" t="str">
        <f t="shared" si="366"/>
        <v>APOIO À REALIZAÇÃO DE EVENTOS EXTENSIONISTAS</v>
      </c>
      <c r="D2049" s="483">
        <f t="shared" si="366"/>
        <v>8100</v>
      </c>
      <c r="E2049" s="484">
        <f t="shared" si="366"/>
        <v>108288</v>
      </c>
      <c r="F2049" s="526" t="str">
        <f t="shared" si="366"/>
        <v>PROEX</v>
      </c>
      <c r="G2049" s="488" t="str">
        <f t="shared" si="366"/>
        <v>serviços Gráficos, passagens e diárias</v>
      </c>
      <c r="H2049" s="489">
        <f t="shared" si="366"/>
        <v>50</v>
      </c>
      <c r="I2049" s="473">
        <f t="shared" si="366"/>
        <v>100000</v>
      </c>
      <c r="J2049" s="473">
        <f t="shared" si="366"/>
        <v>0</v>
      </c>
      <c r="K2049" s="473">
        <f t="shared" si="366"/>
        <v>100000</v>
      </c>
      <c r="L2049" s="167">
        <f t="shared" si="366"/>
        <v>100000</v>
      </c>
      <c r="M2049" s="167">
        <f t="shared" si="366"/>
        <v>0</v>
      </c>
      <c r="N2049" s="167">
        <f t="shared" si="366"/>
        <v>100000</v>
      </c>
      <c r="O2049" s="405"/>
      <c r="P2049" s="405"/>
    </row>
    <row r="2050" spans="1:20" ht="54.75" hidden="1" customHeight="1">
      <c r="A2050" s="273"/>
      <c r="B2050" s="481" t="str">
        <f t="shared" si="366"/>
        <v>M0809G2107N</v>
      </c>
      <c r="C2050" s="490" t="str">
        <f t="shared" si="366"/>
        <v>APOIO À REALIZAÇÃO DE ATIVIDADES EXTENSIONISTAS</v>
      </c>
      <c r="D2050" s="483">
        <f t="shared" si="366"/>
        <v>8100</v>
      </c>
      <c r="E2050" s="484">
        <f t="shared" si="366"/>
        <v>108288</v>
      </c>
      <c r="F2050" s="526" t="str">
        <f t="shared" si="366"/>
        <v>PROEX</v>
      </c>
      <c r="G2050" s="488" t="str">
        <f t="shared" si="366"/>
        <v>Aquisição de  material de consumo</v>
      </c>
      <c r="H2050" s="489">
        <f t="shared" si="366"/>
        <v>50</v>
      </c>
      <c r="I2050" s="473">
        <f t="shared" si="366"/>
        <v>50000</v>
      </c>
      <c r="J2050" s="473">
        <f t="shared" si="366"/>
        <v>0</v>
      </c>
      <c r="K2050" s="473">
        <f t="shared" si="366"/>
        <v>50000</v>
      </c>
      <c r="L2050" s="167">
        <f t="shared" si="366"/>
        <v>50000</v>
      </c>
      <c r="M2050" s="167">
        <f t="shared" si="366"/>
        <v>0</v>
      </c>
      <c r="N2050" s="167">
        <f t="shared" si="366"/>
        <v>50000</v>
      </c>
      <c r="O2050" s="405"/>
      <c r="P2050" s="405"/>
    </row>
    <row r="2051" spans="1:20" ht="54.75" hidden="1" customHeight="1">
      <c r="A2051" s="273"/>
      <c r="B2051" s="481" t="str">
        <f t="shared" si="366"/>
        <v>M0810G2107N</v>
      </c>
      <c r="C2051" s="490" t="str">
        <f t="shared" si="366"/>
        <v>INCENTIVO A PRODUÇÃO ACADÊMICO EXTESIONISTA</v>
      </c>
      <c r="D2051" s="483">
        <f t="shared" si="366"/>
        <v>8100</v>
      </c>
      <c r="E2051" s="484">
        <f t="shared" si="366"/>
        <v>108288</v>
      </c>
      <c r="F2051" s="526" t="str">
        <f t="shared" si="366"/>
        <v>PROEX</v>
      </c>
      <c r="G2051" s="488" t="str">
        <f t="shared" si="366"/>
        <v>Produção de Material Academicos</v>
      </c>
      <c r="H2051" s="489">
        <f t="shared" si="366"/>
        <v>30</v>
      </c>
      <c r="I2051" s="473">
        <f t="shared" si="366"/>
        <v>200000</v>
      </c>
      <c r="J2051" s="473">
        <f t="shared" si="366"/>
        <v>0</v>
      </c>
      <c r="K2051" s="473">
        <f t="shared" si="366"/>
        <v>200000</v>
      </c>
      <c r="L2051" s="167">
        <f t="shared" si="366"/>
        <v>200000</v>
      </c>
      <c r="M2051" s="167">
        <f t="shared" si="366"/>
        <v>0</v>
      </c>
      <c r="N2051" s="167">
        <f t="shared" si="366"/>
        <v>200000</v>
      </c>
      <c r="O2051" s="405"/>
      <c r="P2051" s="405"/>
    </row>
    <row r="2052" spans="1:20" ht="54.75" hidden="1" customHeight="1">
      <c r="A2052" s="273"/>
      <c r="B2052" s="481" t="str">
        <f t="shared" si="366"/>
        <v>M0822G2107N</v>
      </c>
      <c r="C2052" s="490" t="str">
        <f t="shared" si="366"/>
        <v>PROGRAMA DE FOMENTO À ATIVIDADES INTEGRADAS DE EXTENSÃO</v>
      </c>
      <c r="D2052" s="483">
        <f t="shared" si="366"/>
        <v>8100</v>
      </c>
      <c r="E2052" s="484">
        <f t="shared" si="366"/>
        <v>108288</v>
      </c>
      <c r="F2052" s="526" t="str">
        <f t="shared" si="366"/>
        <v>PROEX</v>
      </c>
      <c r="G2052" s="488" t="str">
        <f t="shared" si="366"/>
        <v>Iniciativas Apoiadas</v>
      </c>
      <c r="H2052" s="489">
        <f t="shared" si="366"/>
        <v>25</v>
      </c>
      <c r="I2052" s="473">
        <f t="shared" si="366"/>
        <v>500000</v>
      </c>
      <c r="J2052" s="473">
        <f t="shared" si="366"/>
        <v>0</v>
      </c>
      <c r="K2052" s="473">
        <f t="shared" si="366"/>
        <v>500000</v>
      </c>
      <c r="L2052" s="167">
        <f t="shared" si="366"/>
        <v>500000</v>
      </c>
      <c r="M2052" s="167">
        <f t="shared" si="366"/>
        <v>0</v>
      </c>
      <c r="N2052" s="167">
        <f t="shared" si="366"/>
        <v>500000</v>
      </c>
      <c r="O2052" s="405"/>
      <c r="P2052" s="405"/>
    </row>
    <row r="2053" spans="1:20" ht="54.75" hidden="1" customHeight="1">
      <c r="A2053" s="273"/>
      <c r="B2053" s="481" t="str">
        <f t="shared" si="366"/>
        <v>M0823G2107N</v>
      </c>
      <c r="C2053" s="490" t="str">
        <f t="shared" si="366"/>
        <v>CRIAÇÃO DE PORTIFÓLIO DA EXTENSÃO</v>
      </c>
      <c r="D2053" s="483">
        <f t="shared" si="366"/>
        <v>8100</v>
      </c>
      <c r="E2053" s="484">
        <f t="shared" si="366"/>
        <v>108288</v>
      </c>
      <c r="F2053" s="526" t="str">
        <f t="shared" si="366"/>
        <v>PROEX</v>
      </c>
      <c r="G2053" s="488" t="str">
        <f t="shared" si="366"/>
        <v xml:space="preserve"> Catálogo elaborado</v>
      </c>
      <c r="H2053" s="489">
        <f t="shared" si="366"/>
        <v>1</v>
      </c>
      <c r="I2053" s="473">
        <f t="shared" si="366"/>
        <v>20000</v>
      </c>
      <c r="J2053" s="473">
        <f t="shared" si="366"/>
        <v>0</v>
      </c>
      <c r="K2053" s="473">
        <f t="shared" si="366"/>
        <v>20000</v>
      </c>
      <c r="L2053" s="167">
        <f t="shared" si="366"/>
        <v>20000</v>
      </c>
      <c r="M2053" s="167">
        <f t="shared" si="366"/>
        <v>0</v>
      </c>
      <c r="N2053" s="167">
        <f t="shared" si="366"/>
        <v>20000</v>
      </c>
      <c r="O2053" s="405"/>
      <c r="P2053" s="405"/>
    </row>
    <row r="2054" spans="1:20" s="472" customFormat="1" ht="45" hidden="1" customHeight="1">
      <c r="A2054" s="478" t="s">
        <v>200</v>
      </c>
      <c r="B2054" s="1263" t="s">
        <v>200</v>
      </c>
      <c r="C2054" s="1264"/>
      <c r="D2054" s="1264"/>
      <c r="E2054" s="1264"/>
      <c r="F2054" s="1264"/>
      <c r="G2054" s="1264"/>
      <c r="H2054" s="1265"/>
      <c r="I2054" s="479">
        <f>SUM(I2044:I2053)</f>
        <v>2030000</v>
      </c>
      <c r="J2054" s="479">
        <f>SUM(J2044:J2052)</f>
        <v>0</v>
      </c>
      <c r="K2054" s="479">
        <f>I2054+J2054</f>
        <v>2030000</v>
      </c>
      <c r="L2054" s="480">
        <f>SUM(L2044:L2052)</f>
        <v>2010000</v>
      </c>
      <c r="M2054" s="480">
        <f>SUM(M2044:M2052)</f>
        <v>0</v>
      </c>
      <c r="N2054" s="480">
        <f>SUM(N2044:N2052)</f>
        <v>2010000</v>
      </c>
      <c r="O2054" s="470">
        <f>N111</f>
        <v>2030000</v>
      </c>
      <c r="P2054" s="470">
        <f>N2054-O2054</f>
        <v>-20000</v>
      </c>
      <c r="Q2054" s="622"/>
      <c r="R2054" s="470"/>
      <c r="S2054" s="470"/>
      <c r="T2054" s="471"/>
    </row>
    <row r="2055" spans="1:20" s="315" customFormat="1" ht="35.1" hidden="1" customHeight="1">
      <c r="A2055" s="314"/>
      <c r="C2055" s="334"/>
      <c r="D2055" s="334"/>
      <c r="E2055" s="334"/>
      <c r="F2055" s="334"/>
      <c r="G2055" s="334"/>
      <c r="H2055" s="334"/>
      <c r="I2055" s="334"/>
      <c r="J2055" s="334"/>
      <c r="K2055" s="334"/>
      <c r="L2055" s="316"/>
      <c r="M2055" s="316"/>
      <c r="N2055" s="316"/>
      <c r="Q2055" s="637"/>
    </row>
    <row r="2056" spans="1:20" ht="33" hidden="1" customHeight="1">
      <c r="A2056" s="356"/>
      <c r="B2056" s="605" t="s">
        <v>354</v>
      </c>
      <c r="C2056" s="356"/>
      <c r="D2056" s="356"/>
      <c r="E2056" s="356"/>
      <c r="F2056" s="356"/>
      <c r="G2056" s="356"/>
      <c r="H2056" s="356"/>
      <c r="I2056" s="356"/>
      <c r="J2056" s="356"/>
      <c r="K2056" s="356"/>
      <c r="L2056" s="356"/>
      <c r="M2056" s="356"/>
      <c r="N2056" s="356"/>
      <c r="O2056" s="27"/>
      <c r="P2056" s="27"/>
      <c r="Q2056" s="620"/>
      <c r="R2056" s="27"/>
      <c r="S2056" s="27"/>
      <c r="T2056" s="27"/>
    </row>
    <row r="2057" spans="1:20" s="500" customFormat="1" ht="90" hidden="1">
      <c r="A2057" s="496" t="s">
        <v>646</v>
      </c>
      <c r="B2057" s="497" t="s">
        <v>1062</v>
      </c>
      <c r="C2057" s="497" t="s">
        <v>37</v>
      </c>
      <c r="D2057" s="497" t="s">
        <v>440</v>
      </c>
      <c r="E2057" s="497" t="s">
        <v>16</v>
      </c>
      <c r="F2057" s="497" t="s">
        <v>185</v>
      </c>
      <c r="G2057" s="497" t="s">
        <v>178</v>
      </c>
      <c r="H2057" s="497" t="s">
        <v>179</v>
      </c>
      <c r="I2057" s="497" t="s">
        <v>180</v>
      </c>
      <c r="J2057" s="497" t="s">
        <v>181</v>
      </c>
      <c r="K2057" s="497" t="s">
        <v>200</v>
      </c>
      <c r="L2057" s="496" t="s">
        <v>180</v>
      </c>
      <c r="M2057" s="496" t="s">
        <v>181</v>
      </c>
      <c r="N2057" s="496" t="s">
        <v>200</v>
      </c>
      <c r="O2057" s="498" t="s">
        <v>200</v>
      </c>
      <c r="P2057" s="498" t="s">
        <v>200</v>
      </c>
      <c r="Q2057" s="622"/>
      <c r="R2057" s="498"/>
      <c r="S2057" s="498"/>
      <c r="T2057" s="499"/>
    </row>
    <row r="2058" spans="1:20" ht="54.75" hidden="1" customHeight="1">
      <c r="A2058" s="273"/>
      <c r="B2058" s="481" t="str">
        <f t="shared" ref="B2058:K2058" si="367">B303</f>
        <v>O3701G1901N</v>
      </c>
      <c r="C2058" s="490" t="str">
        <f t="shared" si="367"/>
        <v>AÇÕES ESTRATÉGICAS - AÇÃO 20GK</v>
      </c>
      <c r="D2058" s="483">
        <f t="shared" si="367"/>
        <v>8100</v>
      </c>
      <c r="E2058" s="484">
        <f t="shared" si="367"/>
        <v>138153</v>
      </c>
      <c r="F2058" s="526" t="str">
        <f t="shared" si="367"/>
        <v>Gabinete da Reitoria - UGR: 151824</v>
      </c>
      <c r="G2058" s="488" t="str">
        <f t="shared" si="367"/>
        <v>Funcionamento da Unidade</v>
      </c>
      <c r="H2058" s="489">
        <f t="shared" si="367"/>
        <v>1</v>
      </c>
      <c r="I2058" s="473">
        <f t="shared" si="367"/>
        <v>9219963</v>
      </c>
      <c r="J2058" s="473">
        <f t="shared" si="367"/>
        <v>0</v>
      </c>
      <c r="K2058" s="473">
        <f t="shared" si="367"/>
        <v>9219963</v>
      </c>
      <c r="L2058" s="167">
        <f t="shared" ref="L2058:N2062" si="368">L579</f>
        <v>1962000</v>
      </c>
      <c r="M2058" s="167">
        <f t="shared" si="368"/>
        <v>0</v>
      </c>
      <c r="N2058" s="167">
        <f t="shared" si="368"/>
        <v>1962000</v>
      </c>
      <c r="O2058" s="405"/>
      <c r="P2058" s="405"/>
    </row>
    <row r="2059" spans="1:20" ht="54.75" hidden="1" customHeight="1">
      <c r="A2059" s="273"/>
      <c r="B2059" s="481" t="str">
        <f t="shared" ref="B2059:K2062" si="369">B580</f>
        <v>N1001O9915N</v>
      </c>
      <c r="C2059" s="490" t="str">
        <f t="shared" si="369"/>
        <v>DINTER PROPESP</v>
      </c>
      <c r="D2059" s="483">
        <f t="shared" si="369"/>
        <v>8100</v>
      </c>
      <c r="E2059" s="484">
        <f t="shared" si="369"/>
        <v>108288</v>
      </c>
      <c r="F2059" s="526" t="str">
        <f t="shared" si="369"/>
        <v>PROPESP</v>
      </c>
      <c r="G2059" s="488" t="str">
        <f t="shared" si="369"/>
        <v>Alunos Atendidos</v>
      </c>
      <c r="H2059" s="489">
        <f t="shared" si="369"/>
        <v>80</v>
      </c>
      <c r="I2059" s="473">
        <f t="shared" si="369"/>
        <v>352000</v>
      </c>
      <c r="J2059" s="473">
        <f t="shared" si="369"/>
        <v>0</v>
      </c>
      <c r="K2059" s="473">
        <f t="shared" si="369"/>
        <v>352000</v>
      </c>
      <c r="L2059" s="167">
        <f t="shared" si="368"/>
        <v>352000</v>
      </c>
      <c r="M2059" s="167">
        <f t="shared" si="368"/>
        <v>0</v>
      </c>
      <c r="N2059" s="167">
        <f t="shared" si="368"/>
        <v>352000</v>
      </c>
      <c r="O2059" s="405"/>
      <c r="P2059" s="405"/>
    </row>
    <row r="2060" spans="1:20" ht="54.75" hidden="1" customHeight="1">
      <c r="A2060" s="273"/>
      <c r="B2060" s="481" t="str">
        <f t="shared" si="369"/>
        <v>O1002O1903N</v>
      </c>
      <c r="C2060" s="490" t="str">
        <f t="shared" si="369"/>
        <v>PRODISCENTE</v>
      </c>
      <c r="D2060" s="483">
        <f t="shared" si="369"/>
        <v>8100</v>
      </c>
      <c r="E2060" s="484">
        <f t="shared" si="369"/>
        <v>108288</v>
      </c>
      <c r="F2060" s="526" t="str">
        <f t="shared" si="369"/>
        <v>PROPESP</v>
      </c>
      <c r="G2060" s="488" t="str">
        <f t="shared" si="369"/>
        <v>Alunos Matriculados</v>
      </c>
      <c r="H2060" s="489">
        <f t="shared" si="369"/>
        <v>500</v>
      </c>
      <c r="I2060" s="473">
        <f t="shared" si="369"/>
        <v>400000</v>
      </c>
      <c r="J2060" s="473">
        <f t="shared" si="369"/>
        <v>0</v>
      </c>
      <c r="K2060" s="473">
        <f t="shared" si="369"/>
        <v>400000</v>
      </c>
      <c r="L2060" s="167">
        <f t="shared" si="368"/>
        <v>400000</v>
      </c>
      <c r="M2060" s="167">
        <f t="shared" si="368"/>
        <v>0</v>
      </c>
      <c r="N2060" s="167">
        <f t="shared" si="368"/>
        <v>400000</v>
      </c>
      <c r="O2060" s="405"/>
      <c r="P2060" s="405"/>
    </row>
    <row r="2061" spans="1:20" ht="54.75" hidden="1" customHeight="1">
      <c r="A2061" s="273"/>
      <c r="B2061" s="481" t="str">
        <f t="shared" si="369"/>
        <v>O1003O0106N</v>
      </c>
      <c r="C2061" s="490" t="str">
        <f t="shared" si="369"/>
        <v>RESERVA PROPESP</v>
      </c>
      <c r="D2061" s="483">
        <f t="shared" si="369"/>
        <v>8100</v>
      </c>
      <c r="E2061" s="484">
        <f t="shared" si="369"/>
        <v>108288</v>
      </c>
      <c r="F2061" s="526" t="str">
        <f t="shared" si="369"/>
        <v>PROPESP</v>
      </c>
      <c r="G2061" s="488" t="str">
        <f t="shared" si="369"/>
        <v>Atividades Realizadas</v>
      </c>
      <c r="H2061" s="489">
        <f t="shared" si="369"/>
        <v>6</v>
      </c>
      <c r="I2061" s="473">
        <f t="shared" si="369"/>
        <v>690000</v>
      </c>
      <c r="J2061" s="473">
        <f t="shared" si="369"/>
        <v>0</v>
      </c>
      <c r="K2061" s="473">
        <f t="shared" si="369"/>
        <v>690000</v>
      </c>
      <c r="L2061" s="167">
        <f t="shared" si="368"/>
        <v>690000</v>
      </c>
      <c r="M2061" s="167">
        <f t="shared" si="368"/>
        <v>0</v>
      </c>
      <c r="N2061" s="167">
        <f t="shared" si="368"/>
        <v>690000</v>
      </c>
      <c r="O2061" s="405"/>
      <c r="P2061" s="405"/>
    </row>
    <row r="2062" spans="1:20" ht="54.75" hidden="1" customHeight="1">
      <c r="A2062" s="273"/>
      <c r="B2062" s="481" t="str">
        <f t="shared" si="369"/>
        <v>O1006O1901N</v>
      </c>
      <c r="C2062" s="490" t="str">
        <f t="shared" si="369"/>
        <v>ACOMPANHAMENTO DA PÓS-GRADUAÇÃO</v>
      </c>
      <c r="D2062" s="483">
        <f t="shared" si="369"/>
        <v>8100</v>
      </c>
      <c r="E2062" s="484">
        <f t="shared" si="369"/>
        <v>108288</v>
      </c>
      <c r="F2062" s="526" t="str">
        <f t="shared" si="369"/>
        <v>PROPESP</v>
      </c>
      <c r="G2062" s="488" t="str">
        <f t="shared" si="369"/>
        <v>Progamas atendidos</v>
      </c>
      <c r="H2062" s="489">
        <f t="shared" si="369"/>
        <v>40</v>
      </c>
      <c r="I2062" s="473">
        <f t="shared" si="369"/>
        <v>120000</v>
      </c>
      <c r="J2062" s="473">
        <f t="shared" si="369"/>
        <v>0</v>
      </c>
      <c r="K2062" s="473">
        <f t="shared" si="369"/>
        <v>120000</v>
      </c>
      <c r="L2062" s="167">
        <f t="shared" si="368"/>
        <v>120000</v>
      </c>
      <c r="M2062" s="167">
        <f t="shared" si="368"/>
        <v>0</v>
      </c>
      <c r="N2062" s="167">
        <f t="shared" si="368"/>
        <v>120000</v>
      </c>
      <c r="O2062" s="405"/>
      <c r="P2062" s="405"/>
    </row>
    <row r="2063" spans="1:20" ht="54.75" hidden="1" customHeight="1">
      <c r="A2063" s="273"/>
      <c r="B2063" s="481" t="str">
        <f t="shared" ref="B2063:N2063" si="370">B671</f>
        <v>O1004O0109N</v>
      </c>
      <c r="C2063" s="490" t="str">
        <f t="shared" si="370"/>
        <v xml:space="preserve">CÁTEDRAS  </v>
      </c>
      <c r="D2063" s="483">
        <f t="shared" si="370"/>
        <v>8100</v>
      </c>
      <c r="E2063" s="484">
        <f t="shared" si="370"/>
        <v>108288</v>
      </c>
      <c r="F2063" s="526" t="str">
        <f t="shared" si="370"/>
        <v>PROINTER</v>
      </c>
      <c r="G2063" s="488" t="str">
        <f t="shared" si="370"/>
        <v>Eventos Promovidos / Realizados</v>
      </c>
      <c r="H2063" s="489">
        <f t="shared" si="370"/>
        <v>1</v>
      </c>
      <c r="I2063" s="473">
        <f t="shared" si="370"/>
        <v>61005</v>
      </c>
      <c r="J2063" s="473">
        <f t="shared" si="370"/>
        <v>0</v>
      </c>
      <c r="K2063" s="473">
        <f t="shared" si="370"/>
        <v>61005</v>
      </c>
      <c r="L2063" s="167">
        <f t="shared" si="370"/>
        <v>61005</v>
      </c>
      <c r="M2063" s="167">
        <f t="shared" si="370"/>
        <v>0</v>
      </c>
      <c r="N2063" s="167">
        <f t="shared" si="370"/>
        <v>61005</v>
      </c>
      <c r="O2063" s="405"/>
      <c r="P2063" s="405"/>
    </row>
    <row r="2064" spans="1:20" s="472" customFormat="1" ht="45" hidden="1" customHeight="1">
      <c r="A2064" s="478" t="s">
        <v>200</v>
      </c>
      <c r="B2064" s="1263" t="s">
        <v>200</v>
      </c>
      <c r="C2064" s="1264"/>
      <c r="D2064" s="1264"/>
      <c r="E2064" s="1264"/>
      <c r="F2064" s="1264"/>
      <c r="G2064" s="1264"/>
      <c r="H2064" s="1265"/>
      <c r="I2064" s="479">
        <f>SUM(I2058:I2063)</f>
        <v>10842968</v>
      </c>
      <c r="J2064" s="479">
        <f>SUM(J2058:J2063)</f>
        <v>0</v>
      </c>
      <c r="K2064" s="479">
        <f>I2064+J2064</f>
        <v>10842968</v>
      </c>
      <c r="L2064" s="480">
        <f>SUM(L2059:L2061)</f>
        <v>1442000</v>
      </c>
      <c r="M2064" s="480"/>
      <c r="N2064" s="480">
        <f>SUM(N2059:N2061)</f>
        <v>1442000</v>
      </c>
      <c r="O2064" s="470">
        <f>N112</f>
        <v>2023005</v>
      </c>
      <c r="P2064" s="470">
        <f>N2064-O2064</f>
        <v>-581005</v>
      </c>
      <c r="Q2064" s="622"/>
      <c r="R2064" s="470"/>
      <c r="S2064" s="470"/>
      <c r="T2064" s="471"/>
    </row>
    <row r="2065" spans="1:20" ht="21.95" hidden="1" customHeight="1">
      <c r="O2065" s="27"/>
      <c r="P2065" s="27"/>
      <c r="Q2065" s="620"/>
      <c r="R2065" s="27"/>
      <c r="S2065" s="27"/>
      <c r="T2065" s="27"/>
    </row>
    <row r="2066" spans="1:20" ht="33.75" hidden="1" customHeight="1">
      <c r="A2066" s="27"/>
      <c r="B2066" s="27"/>
      <c r="C2066" s="1204" t="s">
        <v>51</v>
      </c>
      <c r="D2066" s="1204"/>
      <c r="E2066" s="1204"/>
      <c r="F2066" s="1204"/>
      <c r="O2066" s="27"/>
      <c r="P2066" s="27"/>
      <c r="Q2066" s="620"/>
      <c r="R2066" s="27"/>
      <c r="S2066" s="27"/>
      <c r="T2066" s="27"/>
    </row>
    <row r="2067" spans="1:20" ht="33.75" hidden="1" customHeight="1">
      <c r="A2067" s="27"/>
      <c r="B2067" s="27"/>
      <c r="C2067" s="1204" t="s">
        <v>52</v>
      </c>
      <c r="D2067" s="1204"/>
      <c r="E2067" s="1204"/>
      <c r="F2067" s="1204"/>
      <c r="O2067" s="27"/>
      <c r="P2067" s="27"/>
      <c r="Q2067" s="620"/>
      <c r="R2067" s="27"/>
      <c r="S2067" s="27"/>
      <c r="T2067" s="27"/>
    </row>
    <row r="2068" spans="1:20" ht="33.75" hidden="1" customHeight="1">
      <c r="A2068" s="27"/>
      <c r="B2068" s="27"/>
      <c r="C2068" s="1204" t="s">
        <v>50</v>
      </c>
      <c r="D2068" s="1204"/>
      <c r="E2068" s="1204"/>
      <c r="F2068" s="1204"/>
      <c r="O2068" s="27"/>
      <c r="P2068" s="27"/>
      <c r="Q2068" s="620"/>
      <c r="R2068" s="27"/>
      <c r="S2068" s="27"/>
      <c r="T2068" s="27"/>
    </row>
    <row r="2069" spans="1:20" ht="47.25" hidden="1" customHeight="1">
      <c r="A2069" s="349" t="s">
        <v>1060</v>
      </c>
      <c r="B2069" s="1226" t="s">
        <v>1061</v>
      </c>
      <c r="C2069" s="1226"/>
      <c r="D2069" s="1226"/>
      <c r="E2069" s="1226"/>
      <c r="F2069" s="1226"/>
      <c r="G2069" s="1226"/>
      <c r="H2069" s="1226"/>
      <c r="I2069" s="1226"/>
      <c r="J2069" s="1226"/>
      <c r="K2069" s="1226"/>
      <c r="L2069" s="349"/>
      <c r="M2069" s="349"/>
      <c r="N2069" s="349"/>
      <c r="O2069" s="27"/>
      <c r="P2069" s="27"/>
      <c r="Q2069" s="620"/>
      <c r="R2069" s="27"/>
      <c r="S2069" s="27"/>
      <c r="T2069" s="27"/>
    </row>
    <row r="2070" spans="1:20" ht="30" hidden="1" customHeight="1">
      <c r="A2070" s="356"/>
      <c r="B2070" s="605" t="s">
        <v>356</v>
      </c>
      <c r="C2070" s="356"/>
      <c r="D2070" s="356"/>
      <c r="E2070" s="356"/>
      <c r="F2070" s="356"/>
      <c r="G2070" s="356"/>
      <c r="H2070" s="356"/>
      <c r="I2070" s="356"/>
      <c r="J2070" s="356"/>
      <c r="K2070" s="356"/>
      <c r="L2070" s="356"/>
      <c r="M2070" s="356"/>
      <c r="N2070" s="356"/>
      <c r="O2070" s="27"/>
      <c r="P2070" s="27"/>
      <c r="Q2070" s="620"/>
      <c r="R2070" s="27"/>
      <c r="S2070" s="27"/>
      <c r="T2070" s="27"/>
    </row>
    <row r="2071" spans="1:20" s="500" customFormat="1" ht="110.25" hidden="1" customHeight="1">
      <c r="A2071" s="496" t="s">
        <v>646</v>
      </c>
      <c r="B2071" s="497" t="s">
        <v>1062</v>
      </c>
      <c r="C2071" s="497" t="s">
        <v>37</v>
      </c>
      <c r="D2071" s="497" t="s">
        <v>440</v>
      </c>
      <c r="E2071" s="497" t="s">
        <v>16</v>
      </c>
      <c r="F2071" s="497" t="s">
        <v>185</v>
      </c>
      <c r="G2071" s="497" t="s">
        <v>178</v>
      </c>
      <c r="H2071" s="497" t="s">
        <v>179</v>
      </c>
      <c r="I2071" s="497" t="s">
        <v>180</v>
      </c>
      <c r="J2071" s="497" t="s">
        <v>181</v>
      </c>
      <c r="K2071" s="497" t="s">
        <v>200</v>
      </c>
      <c r="L2071" s="496" t="s">
        <v>180</v>
      </c>
      <c r="M2071" s="496" t="s">
        <v>181</v>
      </c>
      <c r="N2071" s="496" t="s">
        <v>200</v>
      </c>
      <c r="O2071" s="498" t="s">
        <v>200</v>
      </c>
      <c r="P2071" s="498" t="s">
        <v>200</v>
      </c>
      <c r="Q2071" s="622"/>
      <c r="R2071" s="498"/>
      <c r="S2071" s="498"/>
      <c r="T2071" s="499"/>
    </row>
    <row r="2072" spans="1:20" ht="54.75" hidden="1" customHeight="1">
      <c r="A2072" s="273"/>
      <c r="B2072" s="481" t="str">
        <f t="shared" ref="B2072:N2072" si="371">B389</f>
        <v>M1301G0115N</v>
      </c>
      <c r="C2072" s="490" t="str">
        <f t="shared" si="371"/>
        <v>CAPACITAÇÃO DE SERVIDORES DA PROAD</v>
      </c>
      <c r="D2072" s="483">
        <f t="shared" si="371"/>
        <v>8100</v>
      </c>
      <c r="E2072" s="484" t="str">
        <f t="shared" si="371"/>
        <v>087093</v>
      </c>
      <c r="F2072" s="526" t="str">
        <f t="shared" si="371"/>
        <v>PROAD</v>
      </c>
      <c r="G2072" s="488" t="str">
        <f t="shared" si="371"/>
        <v>Servidor Capacitado</v>
      </c>
      <c r="H2072" s="489">
        <f t="shared" si="371"/>
        <v>34</v>
      </c>
      <c r="I2072" s="473">
        <f t="shared" si="371"/>
        <v>120000</v>
      </c>
      <c r="J2072" s="473">
        <f t="shared" si="371"/>
        <v>0</v>
      </c>
      <c r="K2072" s="473">
        <f t="shared" si="371"/>
        <v>120000</v>
      </c>
      <c r="L2072" s="167">
        <f t="shared" si="371"/>
        <v>120000</v>
      </c>
      <c r="M2072" s="167">
        <f t="shared" si="371"/>
        <v>0</v>
      </c>
      <c r="N2072" s="167">
        <f t="shared" si="371"/>
        <v>120000</v>
      </c>
      <c r="O2072" s="405"/>
      <c r="P2072" s="405"/>
    </row>
    <row r="2073" spans="1:20" ht="54.75" hidden="1" customHeight="1">
      <c r="A2073" s="273"/>
      <c r="B2073" s="481" t="str">
        <f t="shared" ref="B2073:N2073" si="372">B437</f>
        <v>M1302G0115N</v>
      </c>
      <c r="C2073" s="490" t="str">
        <f t="shared" si="372"/>
        <v xml:space="preserve">CAPACITAÇÃO CURSOS ESPECÍFICOS </v>
      </c>
      <c r="D2073" s="483">
        <f t="shared" si="372"/>
        <v>8100</v>
      </c>
      <c r="E2073" s="484" t="str">
        <f t="shared" si="372"/>
        <v>087093</v>
      </c>
      <c r="F2073" s="526" t="str">
        <f t="shared" si="372"/>
        <v>PRECAMPUS</v>
      </c>
      <c r="G2073" s="488" t="str">
        <f t="shared" si="372"/>
        <v>Servidor Capacitado</v>
      </c>
      <c r="H2073" s="489">
        <f t="shared" si="372"/>
        <v>8</v>
      </c>
      <c r="I2073" s="473">
        <f t="shared" si="372"/>
        <v>30000</v>
      </c>
      <c r="J2073" s="473">
        <f t="shared" si="372"/>
        <v>0</v>
      </c>
      <c r="K2073" s="473">
        <f t="shared" si="372"/>
        <v>30000</v>
      </c>
      <c r="L2073" s="167">
        <f t="shared" si="372"/>
        <v>30000</v>
      </c>
      <c r="M2073" s="167">
        <f t="shared" si="372"/>
        <v>0</v>
      </c>
      <c r="N2073" s="167">
        <f t="shared" si="372"/>
        <v>30000</v>
      </c>
      <c r="O2073" s="405"/>
      <c r="P2073" s="405"/>
    </row>
    <row r="2074" spans="1:20" ht="54.75" hidden="1" customHeight="1">
      <c r="A2074" s="273"/>
      <c r="B2074" s="481" t="str">
        <f t="shared" ref="B2074:N2075" si="373">B478</f>
        <v>M1305G0115N</v>
      </c>
      <c r="C2074" s="490" t="str">
        <f t="shared" si="373"/>
        <v>DESENVOLVIMENTO DO SERVIDOR</v>
      </c>
      <c r="D2074" s="483">
        <f t="shared" si="373"/>
        <v>8100</v>
      </c>
      <c r="E2074" s="484" t="str">
        <f t="shared" si="373"/>
        <v>087093</v>
      </c>
      <c r="F2074" s="526" t="str">
        <f t="shared" si="373"/>
        <v>PROGEP</v>
      </c>
      <c r="G2074" s="488" t="str">
        <f t="shared" si="373"/>
        <v>Servidor capacitado</v>
      </c>
      <c r="H2074" s="489">
        <f t="shared" si="373"/>
        <v>1315</v>
      </c>
      <c r="I2074" s="473">
        <f t="shared" si="373"/>
        <v>386226</v>
      </c>
      <c r="J2074" s="473">
        <f t="shared" si="373"/>
        <v>0</v>
      </c>
      <c r="K2074" s="473">
        <f t="shared" si="373"/>
        <v>386226</v>
      </c>
      <c r="L2074" s="167">
        <f t="shared" si="373"/>
        <v>386226</v>
      </c>
      <c r="M2074" s="167">
        <f t="shared" si="373"/>
        <v>0</v>
      </c>
      <c r="N2074" s="167">
        <f t="shared" si="373"/>
        <v>386226</v>
      </c>
      <c r="O2074" s="405"/>
      <c r="P2074" s="405"/>
    </row>
    <row r="2075" spans="1:20" ht="54.75" hidden="1" customHeight="1">
      <c r="A2075" s="273"/>
      <c r="B2075" s="481" t="str">
        <f t="shared" si="373"/>
        <v>M1345G0115N</v>
      </c>
      <c r="C2075" s="490" t="str">
        <f t="shared" si="373"/>
        <v xml:space="preserve">QUALIFICAÇÃO DO SERVIDOR </v>
      </c>
      <c r="D2075" s="483">
        <f t="shared" si="373"/>
        <v>8100</v>
      </c>
      <c r="E2075" s="484" t="str">
        <f t="shared" si="373"/>
        <v>087093</v>
      </c>
      <c r="F2075" s="526" t="str">
        <f t="shared" si="373"/>
        <v>PROGEP</v>
      </c>
      <c r="G2075" s="488" t="str">
        <f t="shared" si="373"/>
        <v>Servidor capacitado</v>
      </c>
      <c r="H2075" s="489">
        <f t="shared" si="373"/>
        <v>45</v>
      </c>
      <c r="I2075" s="473">
        <f t="shared" si="373"/>
        <v>230000</v>
      </c>
      <c r="J2075" s="473">
        <f t="shared" si="373"/>
        <v>0</v>
      </c>
      <c r="K2075" s="473">
        <f t="shared" si="373"/>
        <v>230000</v>
      </c>
      <c r="L2075" s="167" t="e">
        <f>#REF!</f>
        <v>#REF!</v>
      </c>
      <c r="M2075" s="167" t="e">
        <f>#REF!</f>
        <v>#REF!</v>
      </c>
      <c r="N2075" s="167" t="e">
        <f>#REF!</f>
        <v>#REF!</v>
      </c>
      <c r="O2075" s="405"/>
      <c r="P2075" s="405"/>
    </row>
    <row r="2076" spans="1:20" ht="54.75" hidden="1" customHeight="1">
      <c r="A2076" s="273"/>
      <c r="B2076" s="481" t="str">
        <f t="shared" ref="B2076:K2078" si="374">B553</f>
        <v>M1303G0115N</v>
      </c>
      <c r="C2076" s="490" t="str">
        <f t="shared" si="374"/>
        <v>CAPACITAÇÃO DE SERVIDORES - DIGEST</v>
      </c>
      <c r="D2076" s="483">
        <f t="shared" si="374"/>
        <v>8100</v>
      </c>
      <c r="E2076" s="484" t="str">
        <f t="shared" si="374"/>
        <v>087093</v>
      </c>
      <c r="F2076" s="526" t="str">
        <f t="shared" si="374"/>
        <v>DIGEST</v>
      </c>
      <c r="G2076" s="488" t="str">
        <f t="shared" si="374"/>
        <v>Servidor Capacitado</v>
      </c>
      <c r="H2076" s="489">
        <f t="shared" si="374"/>
        <v>3</v>
      </c>
      <c r="I2076" s="473">
        <f t="shared" si="374"/>
        <v>10000</v>
      </c>
      <c r="J2076" s="473">
        <f t="shared" si="374"/>
        <v>0</v>
      </c>
      <c r="K2076" s="473">
        <f t="shared" si="374"/>
        <v>10000</v>
      </c>
      <c r="L2076" s="167">
        <f>L555</f>
        <v>55085</v>
      </c>
      <c r="M2076" s="167">
        <f>M555</f>
        <v>0</v>
      </c>
      <c r="N2076" s="167">
        <f>N555</f>
        <v>55085</v>
      </c>
      <c r="O2076" s="405"/>
      <c r="P2076" s="405"/>
    </row>
    <row r="2077" spans="1:20" ht="54.75" hidden="1" customHeight="1">
      <c r="A2077" s="273"/>
      <c r="B2077" s="481" t="str">
        <f t="shared" si="374"/>
        <v>M1304G0115N</v>
      </c>
      <c r="C2077" s="490" t="str">
        <f t="shared" si="374"/>
        <v>MELHORIA DA GESTÃO DAS UNIDADES</v>
      </c>
      <c r="D2077" s="483">
        <f t="shared" si="374"/>
        <v>8100</v>
      </c>
      <c r="E2077" s="484" t="str">
        <f t="shared" si="374"/>
        <v>087093</v>
      </c>
      <c r="F2077" s="526" t="str">
        <f t="shared" si="374"/>
        <v>PROPLAN</v>
      </c>
      <c r="G2077" s="488" t="str">
        <f t="shared" si="374"/>
        <v>Servidor Capacitado</v>
      </c>
      <c r="H2077" s="489">
        <f t="shared" si="374"/>
        <v>40</v>
      </c>
      <c r="I2077" s="473">
        <f t="shared" si="374"/>
        <v>20000</v>
      </c>
      <c r="J2077" s="473">
        <f t="shared" si="374"/>
        <v>0</v>
      </c>
      <c r="K2077" s="473">
        <f t="shared" si="374"/>
        <v>20000</v>
      </c>
      <c r="L2077" s="167"/>
      <c r="M2077" s="167"/>
      <c r="N2077" s="167"/>
      <c r="O2077" s="405"/>
      <c r="P2077" s="405"/>
    </row>
    <row r="2078" spans="1:20" ht="54.75" hidden="1" customHeight="1">
      <c r="A2078" s="273"/>
      <c r="B2078" s="481" t="str">
        <f t="shared" si="374"/>
        <v>M1338G0115N</v>
      </c>
      <c r="C2078" s="490" t="str">
        <f t="shared" si="374"/>
        <v>CAPACITAÇÃO DE SERVIDORES DA PROPLAN</v>
      </c>
      <c r="D2078" s="483">
        <f t="shared" si="374"/>
        <v>8100</v>
      </c>
      <c r="E2078" s="484" t="str">
        <f t="shared" si="374"/>
        <v>087093</v>
      </c>
      <c r="F2078" s="526" t="str">
        <f t="shared" si="374"/>
        <v>PROPLAN</v>
      </c>
      <c r="G2078" s="488" t="str">
        <f t="shared" si="374"/>
        <v>Servidor Capacitado</v>
      </c>
      <c r="H2078" s="489">
        <f t="shared" si="374"/>
        <v>15</v>
      </c>
      <c r="I2078" s="473">
        <f t="shared" si="374"/>
        <v>55085</v>
      </c>
      <c r="J2078" s="473">
        <f t="shared" si="374"/>
        <v>0</v>
      </c>
      <c r="K2078" s="473">
        <f t="shared" si="374"/>
        <v>55085</v>
      </c>
      <c r="L2078" s="167"/>
      <c r="M2078" s="167"/>
      <c r="N2078" s="167"/>
      <c r="O2078" s="405"/>
      <c r="P2078" s="405"/>
    </row>
    <row r="2079" spans="1:20" ht="54.75" hidden="1" customHeight="1">
      <c r="A2079" s="273"/>
      <c r="B2079" s="481" t="str">
        <f t="shared" ref="B2079:N2079" si="375">B751</f>
        <v>M1323G0115N</v>
      </c>
      <c r="C2079" s="490" t="str">
        <f t="shared" si="375"/>
        <v>CAPACITAÇÃO DE SERVIDORES DA UNIVERSITEC - AGÊNCIA DE INOVAÇÃO TECNOLÓGICA</v>
      </c>
      <c r="D2079" s="483">
        <f t="shared" si="375"/>
        <v>8100</v>
      </c>
      <c r="E2079" s="484" t="str">
        <f t="shared" si="375"/>
        <v>087093</v>
      </c>
      <c r="F2079" s="526" t="str">
        <f t="shared" si="375"/>
        <v>AGÊNCIA DE INOVAÇÃO TECNOLÓGICA</v>
      </c>
      <c r="G2079" s="488" t="str">
        <f t="shared" si="375"/>
        <v>Servidor Capacitado</v>
      </c>
      <c r="H2079" s="489">
        <f t="shared" si="375"/>
        <v>5</v>
      </c>
      <c r="I2079" s="473">
        <f t="shared" si="375"/>
        <v>18000</v>
      </c>
      <c r="J2079" s="473">
        <f t="shared" si="375"/>
        <v>0</v>
      </c>
      <c r="K2079" s="473">
        <f t="shared" si="375"/>
        <v>18000</v>
      </c>
      <c r="L2079" s="167">
        <f t="shared" si="375"/>
        <v>18000</v>
      </c>
      <c r="M2079" s="167">
        <f t="shared" si="375"/>
        <v>0</v>
      </c>
      <c r="N2079" s="167">
        <f t="shared" si="375"/>
        <v>18000</v>
      </c>
      <c r="O2079" s="405"/>
      <c r="P2079" s="405"/>
    </row>
    <row r="2080" spans="1:20" ht="54.75" hidden="1" customHeight="1">
      <c r="A2080" s="273"/>
      <c r="B2080" s="481" t="str">
        <f t="shared" ref="B2080:N2080" si="376">B816</f>
        <v>M1309G0115N</v>
      </c>
      <c r="C2080" s="490" t="str">
        <f t="shared" si="376"/>
        <v>CAPACITAÇÃO PARA OS TÉCNICOS DO CTIC</v>
      </c>
      <c r="D2080" s="483">
        <f t="shared" si="376"/>
        <v>8100</v>
      </c>
      <c r="E2080" s="484" t="str">
        <f t="shared" si="376"/>
        <v>087093</v>
      </c>
      <c r="F2080" s="526" t="str">
        <f t="shared" si="376"/>
        <v>CTIC</v>
      </c>
      <c r="G2080" s="488" t="str">
        <f t="shared" si="376"/>
        <v>Servidor Capacitado</v>
      </c>
      <c r="H2080" s="489">
        <f t="shared" si="376"/>
        <v>25</v>
      </c>
      <c r="I2080" s="473">
        <f t="shared" si="376"/>
        <v>50000</v>
      </c>
      <c r="J2080" s="473">
        <f t="shared" si="376"/>
        <v>0</v>
      </c>
      <c r="K2080" s="473">
        <f t="shared" si="376"/>
        <v>50000</v>
      </c>
      <c r="L2080" s="167">
        <f t="shared" si="376"/>
        <v>50000</v>
      </c>
      <c r="M2080" s="167">
        <f t="shared" si="376"/>
        <v>0</v>
      </c>
      <c r="N2080" s="167">
        <f t="shared" si="376"/>
        <v>50000</v>
      </c>
      <c r="O2080" s="405"/>
      <c r="P2080" s="405"/>
    </row>
    <row r="2081" spans="1:16" ht="54.75" hidden="1" customHeight="1">
      <c r="A2081" s="273"/>
      <c r="B2081" s="481" t="str">
        <f t="shared" ref="B2081:N2081" si="377">B854</f>
        <v>M1310G0115N</v>
      </c>
      <c r="C2081" s="490" t="str">
        <f t="shared" si="377"/>
        <v>ATUALIZAÇÃO EM GESTÃO ACADÊMICA</v>
      </c>
      <c r="D2081" s="483">
        <f t="shared" si="377"/>
        <v>8100</v>
      </c>
      <c r="E2081" s="484" t="str">
        <f t="shared" si="377"/>
        <v>087093</v>
      </c>
      <c r="F2081" s="526" t="str">
        <f t="shared" si="377"/>
        <v>CIAC</v>
      </c>
      <c r="G2081" s="488" t="str">
        <f t="shared" si="377"/>
        <v>Servidor Capacitado</v>
      </c>
      <c r="H2081" s="489">
        <f t="shared" si="377"/>
        <v>5</v>
      </c>
      <c r="I2081" s="473">
        <f t="shared" si="377"/>
        <v>20000</v>
      </c>
      <c r="J2081" s="473">
        <f t="shared" si="377"/>
        <v>0</v>
      </c>
      <c r="K2081" s="473">
        <f t="shared" si="377"/>
        <v>20000</v>
      </c>
      <c r="L2081" s="167">
        <f t="shared" si="377"/>
        <v>20000</v>
      </c>
      <c r="M2081" s="167">
        <f t="shared" si="377"/>
        <v>0</v>
      </c>
      <c r="N2081" s="167">
        <f t="shared" si="377"/>
        <v>20000</v>
      </c>
      <c r="O2081" s="405"/>
      <c r="P2081" s="405"/>
    </row>
    <row r="2082" spans="1:16" ht="54.75" hidden="1" customHeight="1">
      <c r="A2082" s="273"/>
      <c r="B2082" s="481" t="str">
        <f t="shared" ref="B2082:N2082" si="378">B958</f>
        <v>M1339G0115N</v>
      </c>
      <c r="C2082" s="490" t="str">
        <f t="shared" si="378"/>
        <v>CAPACITAÇÃO DE SERVIDORES DAS UNIDADES ACADÊMICAS</v>
      </c>
      <c r="D2082" s="483">
        <f t="shared" si="378"/>
        <v>8100</v>
      </c>
      <c r="E2082" s="484" t="str">
        <f t="shared" si="378"/>
        <v>087093</v>
      </c>
      <c r="F2082" s="526" t="str">
        <f t="shared" si="378"/>
        <v>ICB</v>
      </c>
      <c r="G2082" s="488" t="str">
        <f t="shared" si="378"/>
        <v>Servidor Capacitado</v>
      </c>
      <c r="H2082" s="489">
        <f t="shared" si="378"/>
        <v>51</v>
      </c>
      <c r="I2082" s="473">
        <f t="shared" si="378"/>
        <v>11000</v>
      </c>
      <c r="J2082" s="473">
        <f t="shared" si="378"/>
        <v>0</v>
      </c>
      <c r="K2082" s="473">
        <f t="shared" si="378"/>
        <v>11000</v>
      </c>
      <c r="L2082" s="167">
        <f t="shared" si="378"/>
        <v>11000</v>
      </c>
      <c r="M2082" s="167">
        <f t="shared" si="378"/>
        <v>0</v>
      </c>
      <c r="N2082" s="167">
        <f t="shared" si="378"/>
        <v>11000</v>
      </c>
      <c r="O2082" s="405"/>
      <c r="P2082" s="405"/>
    </row>
    <row r="2083" spans="1:16" ht="54.75" hidden="1" customHeight="1">
      <c r="A2083" s="273"/>
      <c r="B2083" s="481" t="str">
        <f>B1028</f>
        <v>M1339G0115N</v>
      </c>
      <c r="C2083" s="490" t="str">
        <f t="shared" ref="C2083:K2083" si="379">C1028</f>
        <v>CAPACITAÇÃO DE SERVIDORES DAS UNIDADES ACADÊMICAS</v>
      </c>
      <c r="D2083" s="483">
        <f t="shared" si="379"/>
        <v>8100</v>
      </c>
      <c r="E2083" s="484" t="str">
        <f t="shared" si="379"/>
        <v>087093</v>
      </c>
      <c r="F2083" s="526" t="str">
        <f t="shared" si="379"/>
        <v>ICJ</v>
      </c>
      <c r="G2083" s="488" t="str">
        <f t="shared" si="379"/>
        <v>Ambiente Físico Modernizado/ Recuperado</v>
      </c>
      <c r="H2083" s="489">
        <f t="shared" si="379"/>
        <v>1</v>
      </c>
      <c r="I2083" s="473">
        <f t="shared" si="379"/>
        <v>10000</v>
      </c>
      <c r="J2083" s="473">
        <f t="shared" si="379"/>
        <v>0</v>
      </c>
      <c r="K2083" s="473">
        <f t="shared" si="379"/>
        <v>10000</v>
      </c>
      <c r="L2083" s="167"/>
      <c r="M2083" s="167"/>
      <c r="N2083" s="167"/>
      <c r="O2083" s="405"/>
      <c r="P2083" s="405"/>
    </row>
    <row r="2084" spans="1:16" ht="54.75" hidden="1" customHeight="1">
      <c r="A2084" s="273"/>
      <c r="B2084" s="481" t="str">
        <f t="shared" ref="B2084:N2084" si="380">B1073</f>
        <v>M1339G0115N</v>
      </c>
      <c r="C2084" s="490" t="str">
        <f t="shared" si="380"/>
        <v>CAPACITAÇÃO DE SERVIDORES DAS UNIDADES ACADÊMICAS</v>
      </c>
      <c r="D2084" s="483">
        <f t="shared" si="380"/>
        <v>8100</v>
      </c>
      <c r="E2084" s="484" t="str">
        <f t="shared" si="380"/>
        <v>087093</v>
      </c>
      <c r="F2084" s="526" t="str">
        <f t="shared" si="380"/>
        <v>IFCH</v>
      </c>
      <c r="G2084" s="488" t="str">
        <f t="shared" si="380"/>
        <v>Servidor Capacitado</v>
      </c>
      <c r="H2084" s="489">
        <f t="shared" si="380"/>
        <v>10</v>
      </c>
      <c r="I2084" s="473">
        <f t="shared" si="380"/>
        <v>16000</v>
      </c>
      <c r="J2084" s="473">
        <f t="shared" si="380"/>
        <v>0</v>
      </c>
      <c r="K2084" s="473">
        <f t="shared" si="380"/>
        <v>16000</v>
      </c>
      <c r="L2084" s="167">
        <f t="shared" si="380"/>
        <v>16000</v>
      </c>
      <c r="M2084" s="167">
        <f t="shared" si="380"/>
        <v>0</v>
      </c>
      <c r="N2084" s="167">
        <f t="shared" si="380"/>
        <v>16000</v>
      </c>
      <c r="O2084" s="405"/>
      <c r="P2084" s="405"/>
    </row>
    <row r="2085" spans="1:16" ht="54.75" hidden="1" customHeight="1">
      <c r="A2085" s="273"/>
      <c r="B2085" s="481" t="str">
        <f>B1113</f>
        <v>M1339G0115N</v>
      </c>
      <c r="C2085" s="490" t="str">
        <f t="shared" ref="C2085:K2085" si="381">C1113</f>
        <v>CAPACITAÇÃO DE SERVIDORES DAS UNIDADES ACADÊMICAS</v>
      </c>
      <c r="D2085" s="483">
        <f t="shared" si="381"/>
        <v>8100</v>
      </c>
      <c r="E2085" s="484" t="str">
        <f t="shared" si="381"/>
        <v>087093</v>
      </c>
      <c r="F2085" s="526" t="str">
        <f t="shared" si="381"/>
        <v>ILC</v>
      </c>
      <c r="G2085" s="488" t="str">
        <f t="shared" si="381"/>
        <v>Servidor Capacitado</v>
      </c>
      <c r="H2085" s="489">
        <f t="shared" si="381"/>
        <v>10</v>
      </c>
      <c r="I2085" s="473">
        <f t="shared" si="381"/>
        <v>6000</v>
      </c>
      <c r="J2085" s="473">
        <f t="shared" si="381"/>
        <v>0</v>
      </c>
      <c r="K2085" s="473">
        <f t="shared" si="381"/>
        <v>6000</v>
      </c>
      <c r="L2085" s="167"/>
      <c r="M2085" s="167"/>
      <c r="N2085" s="167"/>
      <c r="O2085" s="405"/>
      <c r="P2085" s="405"/>
    </row>
    <row r="2086" spans="1:16" ht="54.75" hidden="1" customHeight="1">
      <c r="A2086" s="273"/>
      <c r="B2086" s="481" t="str">
        <f t="shared" ref="B2086:N2086" si="382">B1131</f>
        <v>M1339G0115N</v>
      </c>
      <c r="C2086" s="490" t="str">
        <f t="shared" si="382"/>
        <v>CAPACITAÇÃO DE SERVIDORES DAS UNIDADES ACADÊMICAS</v>
      </c>
      <c r="D2086" s="483">
        <f t="shared" si="382"/>
        <v>8100</v>
      </c>
      <c r="E2086" s="484" t="str">
        <f t="shared" si="382"/>
        <v>087093</v>
      </c>
      <c r="F2086" s="526" t="str">
        <f t="shared" si="382"/>
        <v>ICSA</v>
      </c>
      <c r="G2086" s="488" t="str">
        <f t="shared" si="382"/>
        <v>Servidor Capacitado</v>
      </c>
      <c r="H2086" s="489">
        <f t="shared" si="382"/>
        <v>50</v>
      </c>
      <c r="I2086" s="473">
        <f t="shared" si="382"/>
        <v>5000</v>
      </c>
      <c r="J2086" s="473">
        <f t="shared" si="382"/>
        <v>0</v>
      </c>
      <c r="K2086" s="473">
        <f t="shared" si="382"/>
        <v>5000</v>
      </c>
      <c r="L2086" s="167">
        <f t="shared" si="382"/>
        <v>5000</v>
      </c>
      <c r="M2086" s="167">
        <f t="shared" si="382"/>
        <v>0</v>
      </c>
      <c r="N2086" s="167">
        <f t="shared" si="382"/>
        <v>5000</v>
      </c>
      <c r="O2086" s="405"/>
      <c r="P2086" s="405"/>
    </row>
    <row r="2087" spans="1:16" ht="54.75" hidden="1" customHeight="1">
      <c r="A2087" s="273"/>
      <c r="B2087" s="481" t="str">
        <f t="shared" ref="B2087:N2087" si="383">B1159</f>
        <v>M1339G0115N</v>
      </c>
      <c r="C2087" s="490" t="str">
        <f t="shared" si="383"/>
        <v>CAPACITAÇÃO DE SERVIDORES DAS UNIDADES ACADÊMICAS</v>
      </c>
      <c r="D2087" s="483">
        <f t="shared" si="383"/>
        <v>8100</v>
      </c>
      <c r="E2087" s="484" t="str">
        <f t="shared" si="383"/>
        <v>087093</v>
      </c>
      <c r="F2087" s="526" t="str">
        <f t="shared" si="383"/>
        <v>ITEC</v>
      </c>
      <c r="G2087" s="488" t="str">
        <f t="shared" si="383"/>
        <v>Servidor Capacitado</v>
      </c>
      <c r="H2087" s="489">
        <f t="shared" si="383"/>
        <v>110</v>
      </c>
      <c r="I2087" s="473">
        <f t="shared" si="383"/>
        <v>10000</v>
      </c>
      <c r="J2087" s="473">
        <f t="shared" si="383"/>
        <v>0</v>
      </c>
      <c r="K2087" s="473">
        <f t="shared" si="383"/>
        <v>10000</v>
      </c>
      <c r="L2087" s="167">
        <f t="shared" si="383"/>
        <v>10000</v>
      </c>
      <c r="M2087" s="167">
        <f t="shared" si="383"/>
        <v>0</v>
      </c>
      <c r="N2087" s="167">
        <f t="shared" si="383"/>
        <v>10000</v>
      </c>
      <c r="O2087" s="405"/>
      <c r="P2087" s="405"/>
    </row>
    <row r="2088" spans="1:16" ht="54.75" hidden="1" customHeight="1">
      <c r="A2088" s="273"/>
      <c r="B2088" s="481" t="str">
        <f t="shared" ref="B2088:N2088" si="384">B1232</f>
        <v>M1339G0115N</v>
      </c>
      <c r="C2088" s="490" t="str">
        <f t="shared" si="384"/>
        <v>CAPACITAÇÃO DE SERVIDORES DAS UNIDADES ACADÊMICAS</v>
      </c>
      <c r="D2088" s="483">
        <f t="shared" si="384"/>
        <v>8100</v>
      </c>
      <c r="E2088" s="484" t="str">
        <f t="shared" si="384"/>
        <v>087093</v>
      </c>
      <c r="F2088" s="526" t="str">
        <f t="shared" si="384"/>
        <v>IECOS</v>
      </c>
      <c r="G2088" s="488" t="str">
        <f t="shared" si="384"/>
        <v>Servidor Capacitado</v>
      </c>
      <c r="H2088" s="489">
        <f t="shared" si="384"/>
        <v>10</v>
      </c>
      <c r="I2088" s="473">
        <f t="shared" si="384"/>
        <v>18000</v>
      </c>
      <c r="J2088" s="473">
        <f t="shared" si="384"/>
        <v>0</v>
      </c>
      <c r="K2088" s="473">
        <f t="shared" si="384"/>
        <v>18000</v>
      </c>
      <c r="L2088" s="167">
        <f t="shared" si="384"/>
        <v>18000</v>
      </c>
      <c r="M2088" s="167">
        <f t="shared" si="384"/>
        <v>0</v>
      </c>
      <c r="N2088" s="167">
        <f t="shared" si="384"/>
        <v>18000</v>
      </c>
      <c r="O2088" s="405"/>
      <c r="P2088" s="405"/>
    </row>
    <row r="2089" spans="1:16" ht="54.75" hidden="1" customHeight="1">
      <c r="A2089" s="273"/>
      <c r="B2089" s="481" t="str">
        <f t="shared" ref="B2089:N2089" si="385">B1261</f>
        <v>M1339G0115N</v>
      </c>
      <c r="C2089" s="490" t="str">
        <f t="shared" si="385"/>
        <v>CAPACITAÇÃO DE SERVIDORES DAS UNIDADES ACADÊMICAS</v>
      </c>
      <c r="D2089" s="483">
        <f t="shared" si="385"/>
        <v>8100</v>
      </c>
      <c r="E2089" s="484" t="str">
        <f t="shared" si="385"/>
        <v>087093</v>
      </c>
      <c r="F2089" s="526" t="str">
        <f t="shared" si="385"/>
        <v>IEMCI</v>
      </c>
      <c r="G2089" s="488" t="str">
        <f t="shared" si="385"/>
        <v>Servidor Capacitado</v>
      </c>
      <c r="H2089" s="489">
        <f t="shared" si="385"/>
        <v>3</v>
      </c>
      <c r="I2089" s="473">
        <f t="shared" si="385"/>
        <v>6000</v>
      </c>
      <c r="J2089" s="473">
        <f t="shared" si="385"/>
        <v>0</v>
      </c>
      <c r="K2089" s="473">
        <f t="shared" si="385"/>
        <v>6000</v>
      </c>
      <c r="L2089" s="167">
        <f t="shared" si="385"/>
        <v>6000</v>
      </c>
      <c r="M2089" s="167">
        <f t="shared" si="385"/>
        <v>0</v>
      </c>
      <c r="N2089" s="167">
        <f t="shared" si="385"/>
        <v>6000</v>
      </c>
      <c r="O2089" s="405"/>
      <c r="P2089" s="405"/>
    </row>
    <row r="2090" spans="1:16" ht="54.75" hidden="1" customHeight="1">
      <c r="A2090" s="273"/>
      <c r="B2090" s="481" t="str">
        <f t="shared" ref="B2090:N2090" si="386">B1298</f>
        <v>M1339G0115N</v>
      </c>
      <c r="C2090" s="490" t="str">
        <f t="shared" si="386"/>
        <v>CAPACITAÇÃO DE SERVIDORES DAS UNIDADES ACADÊMICAS</v>
      </c>
      <c r="D2090" s="483">
        <f t="shared" si="386"/>
        <v>100</v>
      </c>
      <c r="E2090" s="484" t="str">
        <f t="shared" si="386"/>
        <v>087093</v>
      </c>
      <c r="F2090" s="526" t="str">
        <f t="shared" si="386"/>
        <v>INEAF</v>
      </c>
      <c r="G2090" s="488" t="str">
        <f t="shared" si="386"/>
        <v>Servidor Capacitado</v>
      </c>
      <c r="H2090" s="489">
        <f t="shared" si="386"/>
        <v>2</v>
      </c>
      <c r="I2090" s="473">
        <f t="shared" si="386"/>
        <v>0</v>
      </c>
      <c r="J2090" s="473">
        <f t="shared" si="386"/>
        <v>0</v>
      </c>
      <c r="K2090" s="473">
        <f t="shared" si="386"/>
        <v>0</v>
      </c>
      <c r="L2090" s="167">
        <f t="shared" si="386"/>
        <v>0</v>
      </c>
      <c r="M2090" s="167">
        <f t="shared" si="386"/>
        <v>0</v>
      </c>
      <c r="N2090" s="167">
        <f t="shared" si="386"/>
        <v>0</v>
      </c>
      <c r="O2090" s="405"/>
      <c r="P2090" s="405"/>
    </row>
    <row r="2091" spans="1:16" ht="54.75" hidden="1" customHeight="1">
      <c r="A2091" s="273"/>
      <c r="B2091" s="481" t="str">
        <f t="shared" ref="B2091:N2091" si="387">B1335</f>
        <v>M1339G0115N</v>
      </c>
      <c r="C2091" s="490" t="str">
        <f t="shared" si="387"/>
        <v>CAPACITAÇÃO DE SERVIDORES DAS UNIDADES ACADÊMICAS</v>
      </c>
      <c r="D2091" s="483">
        <f t="shared" si="387"/>
        <v>8100</v>
      </c>
      <c r="E2091" s="484" t="str">
        <f t="shared" si="387"/>
        <v>087093</v>
      </c>
      <c r="F2091" s="526" t="str">
        <f t="shared" si="387"/>
        <v>NDAE</v>
      </c>
      <c r="G2091" s="488" t="str">
        <f t="shared" si="387"/>
        <v>Servidor Capacitado</v>
      </c>
      <c r="H2091" s="489">
        <f t="shared" si="387"/>
        <v>12</v>
      </c>
      <c r="I2091" s="473">
        <f t="shared" si="387"/>
        <v>6500</v>
      </c>
      <c r="J2091" s="473">
        <f t="shared" si="387"/>
        <v>0</v>
      </c>
      <c r="K2091" s="473">
        <f t="shared" si="387"/>
        <v>6500</v>
      </c>
      <c r="L2091" s="167">
        <f t="shared" si="387"/>
        <v>6500</v>
      </c>
      <c r="M2091" s="167">
        <f t="shared" si="387"/>
        <v>0</v>
      </c>
      <c r="N2091" s="167">
        <f t="shared" si="387"/>
        <v>6500</v>
      </c>
      <c r="O2091" s="405"/>
      <c r="P2091" s="405"/>
    </row>
    <row r="2092" spans="1:16" ht="54.75" hidden="1" customHeight="1">
      <c r="A2092" s="273"/>
      <c r="B2092" s="481" t="str">
        <f t="shared" ref="B2092:N2092" si="388">B1389</f>
        <v>M1339G0115N</v>
      </c>
      <c r="C2092" s="490" t="str">
        <f t="shared" si="388"/>
        <v>CAPACITAÇÃO DE SERVIDORES DAS UNIDADES ACADÊMICAS</v>
      </c>
      <c r="D2092" s="483">
        <f t="shared" si="388"/>
        <v>8100</v>
      </c>
      <c r="E2092" s="484" t="str">
        <f t="shared" si="388"/>
        <v>087093</v>
      </c>
      <c r="F2092" s="526" t="str">
        <f t="shared" si="388"/>
        <v>NTPC</v>
      </c>
      <c r="G2092" s="488" t="str">
        <f t="shared" si="388"/>
        <v>Servidor Capacitado</v>
      </c>
      <c r="H2092" s="489">
        <f t="shared" si="388"/>
        <v>2</v>
      </c>
      <c r="I2092" s="473">
        <f t="shared" si="388"/>
        <v>9261</v>
      </c>
      <c r="J2092" s="473">
        <f t="shared" si="388"/>
        <v>0</v>
      </c>
      <c r="K2092" s="473">
        <f t="shared" si="388"/>
        <v>9261</v>
      </c>
      <c r="L2092" s="167">
        <f t="shared" si="388"/>
        <v>9261</v>
      </c>
      <c r="M2092" s="167">
        <f t="shared" si="388"/>
        <v>0</v>
      </c>
      <c r="N2092" s="167">
        <f t="shared" si="388"/>
        <v>9261</v>
      </c>
      <c r="O2092" s="405"/>
      <c r="P2092" s="405"/>
    </row>
    <row r="2093" spans="1:16" ht="54.75" hidden="1" customHeight="1">
      <c r="A2093" s="273"/>
      <c r="B2093" s="481" t="str">
        <f t="shared" ref="B2093:N2093" si="389">B1442</f>
        <v>M1339G0115N</v>
      </c>
      <c r="C2093" s="490" t="str">
        <f t="shared" si="389"/>
        <v>CAPACITAÇÃO DE SERVIDORES DAS UNIDADES ACADÊMICAS</v>
      </c>
      <c r="D2093" s="483">
        <f t="shared" si="389"/>
        <v>8100</v>
      </c>
      <c r="E2093" s="484">
        <f t="shared" si="389"/>
        <v>87093</v>
      </c>
      <c r="F2093" s="526" t="str">
        <f t="shared" si="389"/>
        <v>C. ABAETETUBA</v>
      </c>
      <c r="G2093" s="488" t="str">
        <f t="shared" si="389"/>
        <v>Servidor Capacitado</v>
      </c>
      <c r="H2093" s="489">
        <f t="shared" si="389"/>
        <v>1</v>
      </c>
      <c r="I2093" s="473">
        <f t="shared" si="389"/>
        <v>26079</v>
      </c>
      <c r="J2093" s="473">
        <f t="shared" si="389"/>
        <v>0</v>
      </c>
      <c r="K2093" s="473">
        <f t="shared" si="389"/>
        <v>26079</v>
      </c>
      <c r="L2093" s="167">
        <f t="shared" si="389"/>
        <v>26079</v>
      </c>
      <c r="M2093" s="167">
        <f t="shared" si="389"/>
        <v>0</v>
      </c>
      <c r="N2093" s="167">
        <f t="shared" si="389"/>
        <v>26079</v>
      </c>
      <c r="O2093" s="405"/>
      <c r="P2093" s="405"/>
    </row>
    <row r="2094" spans="1:16" ht="54.75" hidden="1" customHeight="1">
      <c r="A2094" s="273"/>
      <c r="B2094" s="481" t="str">
        <f>B1474</f>
        <v>M1339G0115N</v>
      </c>
      <c r="C2094" s="490" t="str">
        <f t="shared" ref="C2094:K2094" si="390">C1474</f>
        <v>CAPACITAÇÃO DE SERVIDORES DAS UNIDADES ACADÊMICAS</v>
      </c>
      <c r="D2094" s="483">
        <f t="shared" si="390"/>
        <v>8100</v>
      </c>
      <c r="E2094" s="484" t="str">
        <f t="shared" si="390"/>
        <v>087093</v>
      </c>
      <c r="F2094" s="526" t="str">
        <f t="shared" si="390"/>
        <v>C. ALTAMIRA</v>
      </c>
      <c r="G2094" s="488" t="str">
        <f t="shared" si="390"/>
        <v>Servidor Capacitado</v>
      </c>
      <c r="H2094" s="489">
        <f t="shared" si="390"/>
        <v>1</v>
      </c>
      <c r="I2094" s="473">
        <f t="shared" si="390"/>
        <v>21000</v>
      </c>
      <c r="J2094" s="473">
        <f t="shared" si="390"/>
        <v>0</v>
      </c>
      <c r="K2094" s="473">
        <f t="shared" si="390"/>
        <v>21000</v>
      </c>
      <c r="L2094" s="167"/>
      <c r="M2094" s="167"/>
      <c r="N2094" s="167"/>
      <c r="O2094" s="405"/>
      <c r="P2094" s="405"/>
    </row>
    <row r="2095" spans="1:16" ht="54.75" hidden="1" customHeight="1">
      <c r="A2095" s="273"/>
      <c r="B2095" s="481" t="str">
        <f>B1502</f>
        <v>M1339G0115N</v>
      </c>
      <c r="C2095" s="490" t="str">
        <f t="shared" ref="C2095:K2095" si="391">C1502</f>
        <v>CAPACITAÇÃO DE SERVIDORES DAS UNIDADES ACADÊMICAS</v>
      </c>
      <c r="D2095" s="483">
        <f t="shared" si="391"/>
        <v>8100</v>
      </c>
      <c r="E2095" s="484" t="str">
        <f t="shared" si="391"/>
        <v>087093</v>
      </c>
      <c r="F2095" s="526" t="str">
        <f t="shared" si="391"/>
        <v>C. ANANINDEUA</v>
      </c>
      <c r="G2095" s="488" t="str">
        <f t="shared" si="391"/>
        <v>Servidor Capacitado</v>
      </c>
      <c r="H2095" s="489">
        <f t="shared" si="391"/>
        <v>1</v>
      </c>
      <c r="I2095" s="473">
        <f t="shared" si="391"/>
        <v>5000</v>
      </c>
      <c r="J2095" s="473">
        <f t="shared" si="391"/>
        <v>0</v>
      </c>
      <c r="K2095" s="473">
        <f t="shared" si="391"/>
        <v>5000</v>
      </c>
      <c r="L2095" s="167"/>
      <c r="M2095" s="167"/>
      <c r="N2095" s="167"/>
      <c r="O2095" s="405"/>
      <c r="P2095" s="405"/>
    </row>
    <row r="2096" spans="1:16" ht="54.75" hidden="1" customHeight="1">
      <c r="A2096" s="273"/>
      <c r="B2096" s="481" t="str">
        <f>B1519</f>
        <v>M1339G0115N</v>
      </c>
      <c r="C2096" s="490" t="str">
        <f t="shared" ref="C2096:K2096" si="392">C1519</f>
        <v>CAPACITAÇÃO DE SERVIDORES DAS UNIDADES ACADÊMICAS</v>
      </c>
      <c r="D2096" s="483">
        <f t="shared" si="392"/>
        <v>8100</v>
      </c>
      <c r="E2096" s="484">
        <f t="shared" si="392"/>
        <v>87093</v>
      </c>
      <c r="F2096" s="526" t="str">
        <f t="shared" si="392"/>
        <v>C. BRAGANÇA</v>
      </c>
      <c r="G2096" s="488" t="str">
        <f t="shared" si="392"/>
        <v>Servidor Capacitado</v>
      </c>
      <c r="H2096" s="489">
        <f t="shared" si="392"/>
        <v>1</v>
      </c>
      <c r="I2096" s="473">
        <f t="shared" si="392"/>
        <v>17000</v>
      </c>
      <c r="J2096" s="473">
        <f t="shared" si="392"/>
        <v>0</v>
      </c>
      <c r="K2096" s="473">
        <f t="shared" si="392"/>
        <v>17000</v>
      </c>
      <c r="L2096" s="167"/>
      <c r="M2096" s="167"/>
      <c r="N2096" s="167"/>
      <c r="O2096" s="405"/>
      <c r="P2096" s="405"/>
    </row>
    <row r="2097" spans="1:20" ht="54.75" hidden="1" customHeight="1">
      <c r="A2097" s="273"/>
      <c r="B2097" s="481" t="str">
        <f t="shared" ref="B2097:N2097" si="393">B1551</f>
        <v>M1339G0115N</v>
      </c>
      <c r="C2097" s="490" t="str">
        <f t="shared" si="393"/>
        <v>CAPACITAÇÃO DE SERVIDORES DAS UNIDADES ACADÊMICAS</v>
      </c>
      <c r="D2097" s="483">
        <f t="shared" si="393"/>
        <v>8100</v>
      </c>
      <c r="E2097" s="484" t="str">
        <f t="shared" si="393"/>
        <v>087093</v>
      </c>
      <c r="F2097" s="526" t="str">
        <f t="shared" si="393"/>
        <v>C. BREVES</v>
      </c>
      <c r="G2097" s="488" t="str">
        <f t="shared" si="393"/>
        <v>Servidor Capacitado</v>
      </c>
      <c r="H2097" s="489">
        <f t="shared" si="393"/>
        <v>30</v>
      </c>
      <c r="I2097" s="473">
        <f t="shared" si="393"/>
        <v>9030</v>
      </c>
      <c r="J2097" s="473">
        <f t="shared" si="393"/>
        <v>0</v>
      </c>
      <c r="K2097" s="473">
        <f t="shared" si="393"/>
        <v>9030</v>
      </c>
      <c r="L2097" s="167">
        <f t="shared" si="393"/>
        <v>9030</v>
      </c>
      <c r="M2097" s="167">
        <f t="shared" si="393"/>
        <v>0</v>
      </c>
      <c r="N2097" s="167">
        <f t="shared" si="393"/>
        <v>9030</v>
      </c>
      <c r="O2097" s="405"/>
      <c r="P2097" s="405"/>
    </row>
    <row r="2098" spans="1:20" ht="54.75" hidden="1" customHeight="1">
      <c r="A2098" s="273"/>
      <c r="B2098" s="481" t="str">
        <f>B1582</f>
        <v>M1339G0115N</v>
      </c>
      <c r="C2098" s="490" t="str">
        <f t="shared" ref="C2098:K2098" si="394">C1582</f>
        <v>CAPACITAÇÃO DE SERVIDORES DAS UNIDADES ACADÊMICAS</v>
      </c>
      <c r="D2098" s="483">
        <f t="shared" si="394"/>
        <v>8100</v>
      </c>
      <c r="E2098" s="484" t="str">
        <f t="shared" si="394"/>
        <v>087093</v>
      </c>
      <c r="F2098" s="526" t="str">
        <f t="shared" si="394"/>
        <v>C. CAMETÁ</v>
      </c>
      <c r="G2098" s="488" t="str">
        <f t="shared" si="394"/>
        <v>Servidor Capacitado</v>
      </c>
      <c r="H2098" s="489">
        <f t="shared" si="394"/>
        <v>15</v>
      </c>
      <c r="I2098" s="473">
        <f t="shared" si="394"/>
        <v>20000</v>
      </c>
      <c r="J2098" s="473">
        <f t="shared" si="394"/>
        <v>0</v>
      </c>
      <c r="K2098" s="473">
        <f t="shared" si="394"/>
        <v>20000</v>
      </c>
      <c r="L2098" s="167"/>
      <c r="M2098" s="167"/>
      <c r="N2098" s="167"/>
      <c r="O2098" s="405"/>
      <c r="P2098" s="405"/>
    </row>
    <row r="2099" spans="1:20" ht="54.75" hidden="1" customHeight="1">
      <c r="A2099" s="273"/>
      <c r="B2099" s="481" t="str">
        <f t="shared" ref="B2099:N2099" si="395">B1624</f>
        <v>M1335G0115N</v>
      </c>
      <c r="C2099" s="490" t="str">
        <f t="shared" si="395"/>
        <v>CAPACITAÇÃO DE SERVIDORES TÉCNICOS ADMINISTRATIVOS DAS UNIDADES ACADÊMICAS</v>
      </c>
      <c r="D2099" s="483">
        <f t="shared" si="395"/>
        <v>8100</v>
      </c>
      <c r="E2099" s="484" t="str">
        <f t="shared" si="395"/>
        <v>087093</v>
      </c>
      <c r="F2099" s="526" t="str">
        <f t="shared" si="395"/>
        <v>C. CASTANHAL</v>
      </c>
      <c r="G2099" s="488" t="str">
        <f t="shared" si="395"/>
        <v>Servidor Capacitado</v>
      </c>
      <c r="H2099" s="489">
        <f t="shared" si="395"/>
        <v>32</v>
      </c>
      <c r="I2099" s="473">
        <f t="shared" si="395"/>
        <v>30951</v>
      </c>
      <c r="J2099" s="473">
        <f t="shared" si="395"/>
        <v>0</v>
      </c>
      <c r="K2099" s="473">
        <f t="shared" si="395"/>
        <v>30951</v>
      </c>
      <c r="L2099" s="167">
        <f t="shared" si="395"/>
        <v>30951</v>
      </c>
      <c r="M2099" s="167">
        <f t="shared" si="395"/>
        <v>0</v>
      </c>
      <c r="N2099" s="167">
        <f t="shared" si="395"/>
        <v>30951</v>
      </c>
      <c r="O2099" s="405"/>
      <c r="P2099" s="405"/>
    </row>
    <row r="2100" spans="1:20" ht="54.75" hidden="1" customHeight="1">
      <c r="A2100" s="273"/>
      <c r="B2100" s="481" t="str">
        <f t="shared" ref="B2100:N2100" si="396">B1669</f>
        <v>M1339G0115N</v>
      </c>
      <c r="C2100" s="490" t="str">
        <f t="shared" si="396"/>
        <v>CAPACITAÇÃO DE SERVIDORES DAS UNIDADES ACADÊMICAS</v>
      </c>
      <c r="D2100" s="483">
        <f t="shared" si="396"/>
        <v>8100</v>
      </c>
      <c r="E2100" s="484" t="str">
        <f t="shared" si="396"/>
        <v>087093</v>
      </c>
      <c r="F2100" s="526" t="str">
        <f t="shared" si="396"/>
        <v>C. SOURE</v>
      </c>
      <c r="G2100" s="488" t="str">
        <f t="shared" si="396"/>
        <v>Servidor Capacitado</v>
      </c>
      <c r="H2100" s="489">
        <f t="shared" si="396"/>
        <v>5</v>
      </c>
      <c r="I2100" s="473">
        <f t="shared" si="396"/>
        <v>7170</v>
      </c>
      <c r="J2100" s="473">
        <f t="shared" si="396"/>
        <v>0</v>
      </c>
      <c r="K2100" s="473">
        <f t="shared" si="396"/>
        <v>7170</v>
      </c>
      <c r="L2100" s="167">
        <f t="shared" si="396"/>
        <v>7170</v>
      </c>
      <c r="M2100" s="167">
        <f t="shared" si="396"/>
        <v>0</v>
      </c>
      <c r="N2100" s="167">
        <f t="shared" si="396"/>
        <v>7170</v>
      </c>
      <c r="O2100" s="405"/>
      <c r="P2100" s="405"/>
    </row>
    <row r="2101" spans="1:20" ht="54.75" hidden="1" customHeight="1">
      <c r="A2101" s="273"/>
      <c r="B2101" s="481" t="str">
        <f t="shared" ref="B2101:N2101" si="397">B1683</f>
        <v>M1339G0115N</v>
      </c>
      <c r="C2101" s="490" t="str">
        <f t="shared" si="397"/>
        <v>CAPACITAÇÃO DE SERVIDORES DAS UNIDADES ACADÊMICAS</v>
      </c>
      <c r="D2101" s="483">
        <f t="shared" si="397"/>
        <v>8100</v>
      </c>
      <c r="E2101" s="484" t="str">
        <f t="shared" si="397"/>
        <v>087093</v>
      </c>
      <c r="F2101" s="526" t="str">
        <f t="shared" si="397"/>
        <v>C. TUCURUÍ</v>
      </c>
      <c r="G2101" s="488" t="str">
        <f t="shared" si="397"/>
        <v>Servidor Capacitado</v>
      </c>
      <c r="H2101" s="489">
        <f t="shared" si="397"/>
        <v>9</v>
      </c>
      <c r="I2101" s="473">
        <f t="shared" si="397"/>
        <v>22000</v>
      </c>
      <c r="J2101" s="473">
        <f t="shared" si="397"/>
        <v>0</v>
      </c>
      <c r="K2101" s="473">
        <f t="shared" si="397"/>
        <v>22000</v>
      </c>
      <c r="L2101" s="167">
        <f t="shared" si="397"/>
        <v>22000</v>
      </c>
      <c r="M2101" s="167">
        <f t="shared" si="397"/>
        <v>0</v>
      </c>
      <c r="N2101" s="167">
        <f t="shared" si="397"/>
        <v>22000</v>
      </c>
      <c r="O2101" s="405"/>
      <c r="P2101" s="405"/>
    </row>
    <row r="2102" spans="1:20" s="472" customFormat="1" ht="33.75" hidden="1" customHeight="1">
      <c r="A2102" s="599" t="s">
        <v>200</v>
      </c>
      <c r="B2102" s="1298" t="s">
        <v>200</v>
      </c>
      <c r="C2102" s="1299"/>
      <c r="D2102" s="1299"/>
      <c r="E2102" s="1299"/>
      <c r="F2102" s="1299"/>
      <c r="G2102" s="1299"/>
      <c r="H2102" s="1300"/>
      <c r="I2102" s="600">
        <f>SUM(I2072:I2101)</f>
        <v>1195302</v>
      </c>
      <c r="J2102" s="600">
        <f>SUM(J2072:J2101)</f>
        <v>0</v>
      </c>
      <c r="K2102" s="600">
        <f>I2102+J2102</f>
        <v>1195302</v>
      </c>
      <c r="L2102" s="601" t="e">
        <f>SUM(L2072:L2101)</f>
        <v>#REF!</v>
      </c>
      <c r="M2102" s="601" t="e">
        <f>SUM(M2072:M2101)</f>
        <v>#REF!</v>
      </c>
      <c r="N2102" s="601" t="e">
        <f>SUM(N2072:N2101)</f>
        <v>#REF!</v>
      </c>
      <c r="O2102" s="470">
        <f>N124</f>
        <v>1195302</v>
      </c>
      <c r="P2102" s="470" t="e">
        <f>N2102-O2102</f>
        <v>#REF!</v>
      </c>
      <c r="Q2102" s="622"/>
      <c r="R2102" s="470"/>
      <c r="S2102" s="470"/>
      <c r="T2102" s="471"/>
    </row>
    <row r="2103" spans="1:20" s="79" customFormat="1" ht="21.95" hidden="1" customHeight="1">
      <c r="A2103" s="25"/>
      <c r="B2103" s="25"/>
      <c r="C2103" s="1290"/>
      <c r="D2103" s="1290"/>
      <c r="E2103" s="1290"/>
      <c r="F2103" s="1290"/>
      <c r="G2103" s="1290"/>
      <c r="H2103" s="1290"/>
      <c r="I2103" s="1290"/>
      <c r="J2103" s="1290"/>
      <c r="K2103" s="1290"/>
      <c r="L2103" s="1290"/>
      <c r="M2103" s="1290"/>
      <c r="N2103" s="1290"/>
      <c r="Q2103" s="634"/>
    </row>
    <row r="2104" spans="1:20" ht="21.95" hidden="1" customHeight="1">
      <c r="O2104" s="27"/>
      <c r="P2104" s="27"/>
      <c r="Q2104" s="620"/>
      <c r="R2104" s="27"/>
      <c r="S2104" s="27"/>
      <c r="T2104" s="27"/>
    </row>
    <row r="2105" spans="1:20" ht="30.75" hidden="1" customHeight="1">
      <c r="A2105" s="27"/>
      <c r="B2105" s="27"/>
      <c r="C2105" s="1204" t="s">
        <v>51</v>
      </c>
      <c r="D2105" s="1204"/>
      <c r="E2105" s="1204"/>
      <c r="F2105" s="1204"/>
      <c r="O2105" s="27"/>
      <c r="P2105" s="27"/>
      <c r="Q2105" s="620"/>
      <c r="R2105" s="27"/>
      <c r="S2105" s="27"/>
      <c r="T2105" s="27"/>
    </row>
    <row r="2106" spans="1:20" ht="30.75" hidden="1" customHeight="1">
      <c r="A2106" s="27"/>
      <c r="B2106" s="27"/>
      <c r="C2106" s="1204" t="s">
        <v>52</v>
      </c>
      <c r="D2106" s="1204"/>
      <c r="E2106" s="1204"/>
      <c r="F2106" s="1204"/>
      <c r="O2106" s="27"/>
      <c r="P2106" s="27"/>
      <c r="Q2106" s="620"/>
      <c r="R2106" s="27"/>
      <c r="S2106" s="27"/>
      <c r="T2106" s="27"/>
    </row>
    <row r="2107" spans="1:20" ht="30.75" hidden="1" customHeight="1">
      <c r="A2107" s="27"/>
      <c r="B2107" s="27"/>
      <c r="C2107" s="1204" t="s">
        <v>50</v>
      </c>
      <c r="D2107" s="1204"/>
      <c r="E2107" s="1204"/>
      <c r="F2107" s="1204"/>
      <c r="O2107" s="27"/>
      <c r="P2107" s="27"/>
      <c r="Q2107" s="620"/>
      <c r="R2107" s="27"/>
      <c r="S2107" s="27"/>
      <c r="T2107" s="27"/>
    </row>
    <row r="2108" spans="1:20" ht="35.1" hidden="1" customHeight="1">
      <c r="A2108" s="27"/>
      <c r="B2108" s="27"/>
      <c r="F2108" s="27"/>
      <c r="O2108" s="27"/>
      <c r="P2108" s="27"/>
      <c r="Q2108" s="620"/>
      <c r="R2108" s="27"/>
      <c r="S2108" s="27"/>
      <c r="T2108" s="27"/>
    </row>
    <row r="2109" spans="1:20" ht="30" hidden="1" customHeight="1">
      <c r="A2109" s="349" t="s">
        <v>1060</v>
      </c>
      <c r="B2109" s="1226" t="s">
        <v>1061</v>
      </c>
      <c r="C2109" s="1226"/>
      <c r="D2109" s="1226"/>
      <c r="E2109" s="1226"/>
      <c r="F2109" s="1226"/>
      <c r="G2109" s="1226"/>
      <c r="H2109" s="1226"/>
      <c r="I2109" s="1226"/>
      <c r="J2109" s="1226"/>
      <c r="K2109" s="1226"/>
      <c r="L2109" s="349"/>
      <c r="M2109" s="349"/>
      <c r="N2109" s="349"/>
      <c r="O2109" s="27"/>
      <c r="P2109" s="27"/>
      <c r="Q2109" s="620"/>
      <c r="R2109" s="27"/>
      <c r="S2109" s="27"/>
      <c r="T2109" s="27"/>
    </row>
    <row r="2110" spans="1:20" ht="24.95" hidden="1" customHeight="1">
      <c r="A2110" s="27"/>
      <c r="B2110" s="27"/>
      <c r="F2110" s="27"/>
      <c r="O2110" s="27"/>
      <c r="P2110" s="27"/>
      <c r="Q2110" s="620"/>
      <c r="R2110" s="27"/>
      <c r="S2110" s="27"/>
      <c r="T2110" s="27"/>
    </row>
    <row r="2111" spans="1:20" ht="7.5" hidden="1" customHeight="1">
      <c r="A2111" s="27"/>
      <c r="B2111" s="27"/>
      <c r="F2111" s="27"/>
      <c r="O2111" s="27"/>
      <c r="P2111" s="27"/>
      <c r="Q2111" s="620"/>
      <c r="R2111" s="27"/>
      <c r="S2111" s="27"/>
      <c r="T2111" s="27"/>
    </row>
    <row r="2112" spans="1:20" ht="45" hidden="1" customHeight="1">
      <c r="A2112" s="356"/>
      <c r="B2112" s="605" t="s">
        <v>357</v>
      </c>
      <c r="C2112" s="356"/>
      <c r="D2112" s="356"/>
      <c r="E2112" s="356"/>
      <c r="F2112" s="356"/>
      <c r="G2112" s="356"/>
      <c r="H2112" s="356"/>
      <c r="I2112" s="356"/>
      <c r="J2112" s="356"/>
      <c r="K2112" s="356"/>
      <c r="L2112" s="356"/>
      <c r="M2112" s="356"/>
      <c r="N2112" s="356"/>
      <c r="O2112" s="27"/>
      <c r="P2112" s="27"/>
      <c r="Q2112" s="620"/>
      <c r="R2112" s="27"/>
      <c r="S2112" s="27"/>
      <c r="T2112" s="27"/>
    </row>
    <row r="2113" spans="1:20" s="500" customFormat="1" ht="90" hidden="1">
      <c r="A2113" s="496" t="s">
        <v>646</v>
      </c>
      <c r="B2113" s="497" t="s">
        <v>1062</v>
      </c>
      <c r="C2113" s="497" t="s">
        <v>37</v>
      </c>
      <c r="D2113" s="497" t="s">
        <v>440</v>
      </c>
      <c r="E2113" s="497" t="s">
        <v>16</v>
      </c>
      <c r="F2113" s="497" t="s">
        <v>185</v>
      </c>
      <c r="G2113" s="497" t="s">
        <v>178</v>
      </c>
      <c r="H2113" s="497" t="s">
        <v>179</v>
      </c>
      <c r="I2113" s="497" t="s">
        <v>180</v>
      </c>
      <c r="J2113" s="497" t="s">
        <v>181</v>
      </c>
      <c r="K2113" s="497" t="s">
        <v>200</v>
      </c>
      <c r="L2113" s="496" t="s">
        <v>180</v>
      </c>
      <c r="M2113" s="496" t="s">
        <v>181</v>
      </c>
      <c r="N2113" s="496" t="s">
        <v>200</v>
      </c>
      <c r="O2113" s="498" t="s">
        <v>200</v>
      </c>
      <c r="P2113" s="498" t="s">
        <v>200</v>
      </c>
      <c r="Q2113" s="622"/>
      <c r="R2113" s="498"/>
      <c r="S2113" s="498"/>
      <c r="T2113" s="499"/>
    </row>
    <row r="2114" spans="1:20" ht="54.75" hidden="1" customHeight="1">
      <c r="A2114" s="273"/>
      <c r="B2114" s="481" t="str">
        <f>B1413</f>
        <v>M1401G2202N</v>
      </c>
      <c r="C2114" s="490" t="str">
        <f t="shared" ref="C2114:N2114" si="398">C1413</f>
        <v>FUNCIONAMENTO DA EDUCAÇÃO À DISTÂNCIA</v>
      </c>
      <c r="D2114" s="483">
        <f t="shared" si="398"/>
        <v>8100</v>
      </c>
      <c r="E2114" s="484">
        <f t="shared" si="398"/>
        <v>108288</v>
      </c>
      <c r="F2114" s="526" t="str">
        <f t="shared" si="398"/>
        <v>NITAE2</v>
      </c>
      <c r="G2114" s="488" t="str">
        <f t="shared" si="398"/>
        <v>Alunos Matriculados</v>
      </c>
      <c r="H2114" s="489">
        <f t="shared" si="398"/>
        <v>2500</v>
      </c>
      <c r="I2114" s="473">
        <f t="shared" si="398"/>
        <v>119223</v>
      </c>
      <c r="J2114" s="473">
        <f t="shared" si="398"/>
        <v>0</v>
      </c>
      <c r="K2114" s="473">
        <f t="shared" si="398"/>
        <v>119223</v>
      </c>
      <c r="L2114" s="167">
        <f t="shared" si="398"/>
        <v>119223</v>
      </c>
      <c r="M2114" s="167">
        <f t="shared" si="398"/>
        <v>0</v>
      </c>
      <c r="N2114" s="167">
        <f t="shared" si="398"/>
        <v>119223</v>
      </c>
      <c r="O2114" s="405" t="e">
        <f>#REF!</f>
        <v>#REF!</v>
      </c>
      <c r="P2114" s="405" t="e">
        <f>#REF!</f>
        <v>#REF!</v>
      </c>
    </row>
    <row r="2115" spans="1:20" s="472" customFormat="1" ht="45" hidden="1" customHeight="1">
      <c r="A2115" s="478" t="s">
        <v>200</v>
      </c>
      <c r="B2115" s="1263" t="s">
        <v>200</v>
      </c>
      <c r="C2115" s="1264"/>
      <c r="D2115" s="1264"/>
      <c r="E2115" s="1264"/>
      <c r="F2115" s="1264"/>
      <c r="G2115" s="1264"/>
      <c r="H2115" s="1265"/>
      <c r="I2115" s="479">
        <f>SUM(I2114:I2114)</f>
        <v>119223</v>
      </c>
      <c r="J2115" s="479">
        <f>SUM(J2114:J2114)</f>
        <v>0</v>
      </c>
      <c r="K2115" s="479">
        <f>I2115+J2115</f>
        <v>119223</v>
      </c>
      <c r="L2115" s="480">
        <f>SUM(L2114)</f>
        <v>119223</v>
      </c>
      <c r="M2115" s="480"/>
      <c r="N2115" s="480">
        <f>SUM(N2114)</f>
        <v>119223</v>
      </c>
      <c r="O2115" s="470">
        <f>N113</f>
        <v>119223</v>
      </c>
      <c r="P2115" s="470">
        <f>N2115-O2115</f>
        <v>0</v>
      </c>
      <c r="Q2115" s="622"/>
      <c r="R2115" s="470"/>
      <c r="S2115" s="470"/>
      <c r="T2115" s="471"/>
    </row>
    <row r="2116" spans="1:20" ht="9.75" hidden="1" customHeight="1">
      <c r="A2116" s="27"/>
      <c r="B2116" s="27"/>
      <c r="F2116" s="27"/>
      <c r="O2116" s="27"/>
      <c r="P2116" s="27"/>
      <c r="Q2116" s="620"/>
      <c r="R2116" s="27"/>
      <c r="S2116" s="27"/>
      <c r="T2116" s="27"/>
    </row>
    <row r="2117" spans="1:20" ht="15" hidden="1" customHeight="1">
      <c r="A2117" s="27"/>
      <c r="B2117" s="27"/>
      <c r="F2117" s="27"/>
      <c r="O2117" s="27"/>
      <c r="P2117" s="27"/>
      <c r="Q2117" s="620"/>
      <c r="R2117" s="27"/>
      <c r="S2117" s="27"/>
      <c r="T2117" s="27"/>
    </row>
    <row r="2118" spans="1:20" ht="45" hidden="1" customHeight="1">
      <c r="A2118" s="356"/>
      <c r="B2118" s="605" t="s">
        <v>358</v>
      </c>
      <c r="C2118" s="356"/>
      <c r="D2118" s="356"/>
      <c r="E2118" s="356"/>
      <c r="F2118" s="356"/>
      <c r="G2118" s="356"/>
      <c r="H2118" s="356"/>
      <c r="I2118" s="356"/>
      <c r="J2118" s="356"/>
      <c r="K2118" s="356"/>
      <c r="L2118" s="356"/>
      <c r="M2118" s="356"/>
      <c r="N2118" s="356"/>
      <c r="O2118" s="27"/>
      <c r="P2118" s="27"/>
      <c r="Q2118" s="620"/>
      <c r="R2118" s="27"/>
      <c r="S2118" s="27"/>
      <c r="T2118" s="27"/>
    </row>
    <row r="2119" spans="1:20" s="500" customFormat="1" ht="90" hidden="1">
      <c r="A2119" s="496" t="s">
        <v>646</v>
      </c>
      <c r="B2119" s="497" t="s">
        <v>1062</v>
      </c>
      <c r="C2119" s="497" t="s">
        <v>37</v>
      </c>
      <c r="D2119" s="497" t="s">
        <v>440</v>
      </c>
      <c r="E2119" s="497" t="s">
        <v>16</v>
      </c>
      <c r="F2119" s="497" t="s">
        <v>185</v>
      </c>
      <c r="G2119" s="497" t="s">
        <v>178</v>
      </c>
      <c r="H2119" s="497" t="s">
        <v>179</v>
      </c>
      <c r="I2119" s="497" t="s">
        <v>180</v>
      </c>
      <c r="J2119" s="497" t="s">
        <v>181</v>
      </c>
      <c r="K2119" s="497" t="s">
        <v>200</v>
      </c>
      <c r="L2119" s="496" t="s">
        <v>180</v>
      </c>
      <c r="M2119" s="496" t="s">
        <v>181</v>
      </c>
      <c r="N2119" s="496" t="s">
        <v>200</v>
      </c>
      <c r="O2119" s="498" t="s">
        <v>200</v>
      </c>
      <c r="P2119" s="498" t="s">
        <v>200</v>
      </c>
      <c r="Q2119" s="622"/>
      <c r="R2119" s="498"/>
      <c r="S2119" s="498"/>
      <c r="T2119" s="499"/>
    </row>
    <row r="2120" spans="1:20" ht="54.75" hidden="1" customHeight="1">
      <c r="A2120" s="273"/>
      <c r="B2120" s="481" t="str">
        <f t="shared" ref="B2120:K2120" si="399">B441</f>
        <v>L1507P1917N</v>
      </c>
      <c r="C2120" s="490" t="str">
        <f t="shared" si="399"/>
        <v>DESPESAS COM ENERGIA ELÉTRICA (ETDUFPA / EMUFPA)</v>
      </c>
      <c r="D2120" s="483">
        <f t="shared" si="399"/>
        <v>8100</v>
      </c>
      <c r="E2120" s="484">
        <f t="shared" si="399"/>
        <v>108286</v>
      </c>
      <c r="F2120" s="526" t="str">
        <f t="shared" si="399"/>
        <v>PRECAMPUS</v>
      </c>
      <c r="G2120" s="488" t="str">
        <f t="shared" si="399"/>
        <v>Atendimento Realizado</v>
      </c>
      <c r="H2120" s="489">
        <f t="shared" si="399"/>
        <v>1</v>
      </c>
      <c r="I2120" s="473">
        <f t="shared" si="399"/>
        <v>276976</v>
      </c>
      <c r="J2120" s="473">
        <f t="shared" si="399"/>
        <v>0</v>
      </c>
      <c r="K2120" s="473">
        <f t="shared" si="399"/>
        <v>276976</v>
      </c>
      <c r="L2120" s="167">
        <f t="shared" ref="L2120:N2121" si="400">L1187</f>
        <v>1150005</v>
      </c>
      <c r="M2120" s="167">
        <f t="shared" si="400"/>
        <v>0</v>
      </c>
      <c r="N2120" s="167">
        <f t="shared" si="400"/>
        <v>1150005</v>
      </c>
      <c r="O2120" s="405"/>
      <c r="P2120" s="405"/>
    </row>
    <row r="2121" spans="1:20" ht="54.75" hidden="1" customHeight="1">
      <c r="A2121" s="273"/>
      <c r="B2121" s="481" t="str">
        <f t="shared" ref="B2121:N2124" si="401">B1188</f>
        <v>L1501P1901N</v>
      </c>
      <c r="C2121" s="490" t="str">
        <f t="shared" si="401"/>
        <v>MANUTENÇÃO DA ESCOLA DE MÚSICA - EMUFPA/ICA</v>
      </c>
      <c r="D2121" s="483">
        <f t="shared" si="401"/>
        <v>8100</v>
      </c>
      <c r="E2121" s="484" t="str">
        <f t="shared" si="401"/>
        <v>108286</v>
      </c>
      <c r="F2121" s="526" t="str">
        <f t="shared" si="401"/>
        <v>EMUFPA</v>
      </c>
      <c r="G2121" s="488" t="str">
        <f t="shared" si="401"/>
        <v>Alunos Matriculados</v>
      </c>
      <c r="H2121" s="489">
        <f t="shared" si="401"/>
        <v>1</v>
      </c>
      <c r="I2121" s="473">
        <f t="shared" si="401"/>
        <v>438991</v>
      </c>
      <c r="J2121" s="473">
        <f t="shared" si="401"/>
        <v>0</v>
      </c>
      <c r="K2121" s="473">
        <f t="shared" si="401"/>
        <v>438991</v>
      </c>
      <c r="L2121" s="167">
        <f t="shared" si="400"/>
        <v>438991</v>
      </c>
      <c r="M2121" s="167">
        <f t="shared" si="400"/>
        <v>0</v>
      </c>
      <c r="N2121" s="167">
        <f t="shared" si="400"/>
        <v>438991</v>
      </c>
      <c r="O2121" s="405"/>
      <c r="P2121" s="405"/>
    </row>
    <row r="2122" spans="1:20" ht="54.75" hidden="1" customHeight="1">
      <c r="A2122" s="273"/>
      <c r="B2122" s="481" t="str">
        <f t="shared" si="401"/>
        <v>L1502P1901N</v>
      </c>
      <c r="C2122" s="490" t="str">
        <f t="shared" si="401"/>
        <v>MANUTENÇÃO DA ESCOLA DE TEATRO E DANÇA - ETDUFPA/ICA</v>
      </c>
      <c r="D2122" s="483">
        <f t="shared" si="401"/>
        <v>8100</v>
      </c>
      <c r="E2122" s="484" t="str">
        <f t="shared" si="401"/>
        <v>108286</v>
      </c>
      <c r="F2122" s="526" t="str">
        <f t="shared" si="401"/>
        <v>ETDUFPA</v>
      </c>
      <c r="G2122" s="488" t="str">
        <f t="shared" si="401"/>
        <v>Alunos Matriculados</v>
      </c>
      <c r="H2122" s="489">
        <f t="shared" si="401"/>
        <v>1</v>
      </c>
      <c r="I2122" s="473">
        <f t="shared" si="401"/>
        <v>649174</v>
      </c>
      <c r="J2122" s="473">
        <f t="shared" si="401"/>
        <v>0</v>
      </c>
      <c r="K2122" s="473">
        <f t="shared" si="401"/>
        <v>649174</v>
      </c>
      <c r="L2122" s="167">
        <f t="shared" si="401"/>
        <v>649174</v>
      </c>
      <c r="M2122" s="167">
        <f t="shared" si="401"/>
        <v>0</v>
      </c>
      <c r="N2122" s="167">
        <f t="shared" si="401"/>
        <v>649174</v>
      </c>
      <c r="O2122" s="405"/>
      <c r="P2122" s="405"/>
    </row>
    <row r="2123" spans="1:20" ht="54.75" hidden="1" customHeight="1">
      <c r="A2123" s="273"/>
      <c r="B2123" s="481" t="str">
        <f t="shared" si="401"/>
        <v>L1503P1901N</v>
      </c>
      <c r="C2123" s="490" t="str">
        <f t="shared" si="401"/>
        <v>TECNOLOGIA DA INFORMAÇÃO DA ESCOLA DE MÚSICA - EMUFPA/ICA</v>
      </c>
      <c r="D2123" s="483">
        <f t="shared" si="401"/>
        <v>8100</v>
      </c>
      <c r="E2123" s="484" t="str">
        <f t="shared" si="401"/>
        <v>108286</v>
      </c>
      <c r="F2123" s="526" t="str">
        <f t="shared" si="401"/>
        <v>EMUFPA</v>
      </c>
      <c r="G2123" s="488" t="str">
        <f t="shared" si="401"/>
        <v>Aquisição e Manutenção de TI</v>
      </c>
      <c r="H2123" s="489">
        <f t="shared" si="401"/>
        <v>1</v>
      </c>
      <c r="I2123" s="473">
        <f t="shared" si="401"/>
        <v>15000</v>
      </c>
      <c r="J2123" s="473">
        <f t="shared" si="401"/>
        <v>0</v>
      </c>
      <c r="K2123" s="473">
        <f t="shared" si="401"/>
        <v>15000</v>
      </c>
      <c r="L2123" s="167">
        <f t="shared" si="401"/>
        <v>15000</v>
      </c>
      <c r="M2123" s="167">
        <f t="shared" si="401"/>
        <v>0</v>
      </c>
      <c r="N2123" s="167">
        <f t="shared" si="401"/>
        <v>15000</v>
      </c>
      <c r="O2123" s="405"/>
      <c r="P2123" s="405"/>
    </row>
    <row r="2124" spans="1:20" ht="54.75" hidden="1" customHeight="1">
      <c r="A2124" s="273"/>
      <c r="B2124" s="481" t="str">
        <f t="shared" si="401"/>
        <v>L1504P1901N</v>
      </c>
      <c r="C2124" s="490" t="str">
        <f t="shared" si="401"/>
        <v>TECNOLOGIA DA INFORMAÇÃO DA ESCOLA DE TEATRO E DANÇA - ETDUFPA/ICA</v>
      </c>
      <c r="D2124" s="483">
        <f t="shared" si="401"/>
        <v>8100</v>
      </c>
      <c r="E2124" s="484" t="str">
        <f t="shared" si="401"/>
        <v>108286</v>
      </c>
      <c r="F2124" s="526" t="str">
        <f t="shared" si="401"/>
        <v>ETDUFPA</v>
      </c>
      <c r="G2124" s="488" t="str">
        <f t="shared" si="401"/>
        <v>Aquisição e Manutenção de TI</v>
      </c>
      <c r="H2124" s="489">
        <f t="shared" si="401"/>
        <v>1</v>
      </c>
      <c r="I2124" s="473">
        <f t="shared" si="401"/>
        <v>46840</v>
      </c>
      <c r="J2124" s="473">
        <f t="shared" si="401"/>
        <v>0</v>
      </c>
      <c r="K2124" s="473">
        <f t="shared" si="401"/>
        <v>46840</v>
      </c>
      <c r="L2124" s="167">
        <f t="shared" si="401"/>
        <v>46840</v>
      </c>
      <c r="M2124" s="167">
        <f t="shared" si="401"/>
        <v>0</v>
      </c>
      <c r="N2124" s="167">
        <f t="shared" si="401"/>
        <v>46840</v>
      </c>
      <c r="O2124" s="405"/>
      <c r="P2124" s="405"/>
    </row>
    <row r="2125" spans="1:20" s="472" customFormat="1" ht="45" hidden="1" customHeight="1">
      <c r="A2125" s="478" t="s">
        <v>200</v>
      </c>
      <c r="B2125" s="1263" t="s">
        <v>200</v>
      </c>
      <c r="C2125" s="1264"/>
      <c r="D2125" s="1264"/>
      <c r="E2125" s="1264"/>
      <c r="F2125" s="1264"/>
      <c r="G2125" s="1264"/>
      <c r="H2125" s="1265"/>
      <c r="I2125" s="479">
        <f>SUM(I2120:I2124)</f>
        <v>1426981</v>
      </c>
      <c r="J2125" s="479">
        <f>SUM(J2120:J2124)</f>
        <v>0</v>
      </c>
      <c r="K2125" s="479">
        <f>I2125+J2125</f>
        <v>1426981</v>
      </c>
      <c r="L2125" s="480">
        <f>SUM(L2121:L2124)</f>
        <v>1150005</v>
      </c>
      <c r="M2125" s="480">
        <f>SUM(M2121:M2124)</f>
        <v>0</v>
      </c>
      <c r="N2125" s="480">
        <f>SUM(N2121:N2124)</f>
        <v>1150005</v>
      </c>
      <c r="O2125" s="470">
        <f>N98</f>
        <v>1150005</v>
      </c>
      <c r="P2125" s="470">
        <f>N2125-O2125</f>
        <v>0</v>
      </c>
      <c r="Q2125" s="622"/>
      <c r="R2125" s="470"/>
      <c r="S2125" s="470"/>
      <c r="T2125" s="471"/>
    </row>
    <row r="2126" spans="1:20" ht="9.75" hidden="1" customHeight="1">
      <c r="A2126" s="27"/>
      <c r="B2126" s="27"/>
      <c r="F2126" s="27"/>
      <c r="O2126" s="27"/>
      <c r="P2126" s="27"/>
      <c r="Q2126" s="620"/>
      <c r="R2126" s="27"/>
      <c r="S2126" s="27"/>
      <c r="T2126" s="27"/>
    </row>
    <row r="2127" spans="1:20" ht="12" hidden="1" customHeight="1">
      <c r="A2127" s="27"/>
      <c r="B2127" s="27"/>
      <c r="F2127" s="27"/>
      <c r="O2127" s="27"/>
      <c r="P2127" s="27"/>
      <c r="Q2127" s="620"/>
      <c r="R2127" s="27"/>
      <c r="S2127" s="27"/>
      <c r="T2127" s="27"/>
    </row>
    <row r="2128" spans="1:20" ht="45" hidden="1" customHeight="1">
      <c r="A2128" s="356"/>
      <c r="B2128" s="605" t="s">
        <v>359</v>
      </c>
      <c r="C2128" s="356"/>
      <c r="D2128" s="356"/>
      <c r="E2128" s="356"/>
      <c r="F2128" s="356"/>
      <c r="G2128" s="356"/>
      <c r="H2128" s="356"/>
      <c r="I2128" s="356"/>
      <c r="J2128" s="356"/>
      <c r="K2128" s="356"/>
      <c r="L2128" s="356"/>
      <c r="M2128" s="356"/>
      <c r="N2128" s="356"/>
      <c r="O2128" s="27"/>
      <c r="P2128" s="27"/>
      <c r="Q2128" s="620"/>
      <c r="R2128" s="27"/>
      <c r="S2128" s="27"/>
      <c r="T2128" s="27"/>
    </row>
    <row r="2129" spans="1:20" s="500" customFormat="1" ht="90" hidden="1">
      <c r="A2129" s="496" t="s">
        <v>646</v>
      </c>
      <c r="B2129" s="497" t="s">
        <v>1062</v>
      </c>
      <c r="C2129" s="497" t="s">
        <v>37</v>
      </c>
      <c r="D2129" s="497" t="s">
        <v>440</v>
      </c>
      <c r="E2129" s="497" t="s">
        <v>16</v>
      </c>
      <c r="F2129" s="497" t="s">
        <v>185</v>
      </c>
      <c r="G2129" s="497" t="s">
        <v>178</v>
      </c>
      <c r="H2129" s="497" t="s">
        <v>179</v>
      </c>
      <c r="I2129" s="497" t="s">
        <v>180</v>
      </c>
      <c r="J2129" s="497" t="s">
        <v>181</v>
      </c>
      <c r="K2129" s="497" t="s">
        <v>200</v>
      </c>
      <c r="L2129" s="496" t="s">
        <v>180</v>
      </c>
      <c r="M2129" s="496" t="s">
        <v>181</v>
      </c>
      <c r="N2129" s="496" t="s">
        <v>200</v>
      </c>
      <c r="O2129" s="498" t="s">
        <v>200</v>
      </c>
      <c r="P2129" s="498" t="s">
        <v>200</v>
      </c>
      <c r="Q2129" s="622"/>
      <c r="R2129" s="498"/>
      <c r="S2129" s="498"/>
      <c r="T2129" s="499"/>
    </row>
    <row r="2130" spans="1:20" ht="54.75" hidden="1" customHeight="1">
      <c r="A2130" s="273"/>
      <c r="B2130" s="481" t="str">
        <f t="shared" ref="B2130:K2130" si="402">B443</f>
        <v>B1705F1917N</v>
      </c>
      <c r="C2130" s="490" t="str">
        <f t="shared" si="402"/>
        <v>DESPESAS COM ENERGIA ELÉTRICA DA ESCOLA DE APLICAÇÃO</v>
      </c>
      <c r="D2130" s="483">
        <f t="shared" si="402"/>
        <v>8100</v>
      </c>
      <c r="E2130" s="484" t="str">
        <f t="shared" si="402"/>
        <v>108291</v>
      </c>
      <c r="F2130" s="526" t="str">
        <f t="shared" si="402"/>
        <v>PRECAMPUS</v>
      </c>
      <c r="G2130" s="488" t="str">
        <f t="shared" si="402"/>
        <v>Atendimento Realizado</v>
      </c>
      <c r="H2130" s="489">
        <f t="shared" si="402"/>
        <v>1</v>
      </c>
      <c r="I2130" s="473">
        <f t="shared" si="402"/>
        <v>146412</v>
      </c>
      <c r="J2130" s="473">
        <f t="shared" si="402"/>
        <v>0</v>
      </c>
      <c r="K2130" s="473">
        <f t="shared" si="402"/>
        <v>146412</v>
      </c>
      <c r="L2130" s="167">
        <f t="shared" ref="L2130:N2131" si="403">L939</f>
        <v>829651</v>
      </c>
      <c r="M2130" s="167">
        <f t="shared" si="403"/>
        <v>0</v>
      </c>
      <c r="N2130" s="167">
        <f t="shared" si="403"/>
        <v>829651</v>
      </c>
      <c r="O2130" s="405"/>
      <c r="P2130" s="405"/>
    </row>
    <row r="2131" spans="1:20" ht="54.75" hidden="1" customHeight="1">
      <c r="A2131" s="273"/>
      <c r="B2131" s="481" t="str">
        <f t="shared" ref="B2131:N2132" si="404">B940</f>
        <v>B1701F1902N</v>
      </c>
      <c r="C2131" s="490" t="str">
        <f t="shared" si="404"/>
        <v>FUNCIONAMENTO DA ESCOLA DE APLICAÇÃO</v>
      </c>
      <c r="D2131" s="483">
        <f t="shared" si="404"/>
        <v>8100</v>
      </c>
      <c r="E2131" s="484" t="str">
        <f t="shared" si="404"/>
        <v>108291</v>
      </c>
      <c r="F2131" s="526" t="str">
        <f t="shared" si="404"/>
        <v>ESCOLA DE APLICAÇÃO</v>
      </c>
      <c r="G2131" s="488" t="str">
        <f t="shared" si="404"/>
        <v>Aluno Matriculado</v>
      </c>
      <c r="H2131" s="489">
        <f t="shared" si="404"/>
        <v>1570</v>
      </c>
      <c r="I2131" s="473">
        <f t="shared" si="404"/>
        <v>785408</v>
      </c>
      <c r="J2131" s="473">
        <f t="shared" si="404"/>
        <v>0</v>
      </c>
      <c r="K2131" s="473">
        <f t="shared" si="404"/>
        <v>785408</v>
      </c>
      <c r="L2131" s="167">
        <f t="shared" si="403"/>
        <v>785408</v>
      </c>
      <c r="M2131" s="167">
        <f t="shared" si="403"/>
        <v>0</v>
      </c>
      <c r="N2131" s="167">
        <f t="shared" si="403"/>
        <v>785408</v>
      </c>
      <c r="O2131" s="405"/>
      <c r="P2131" s="405"/>
    </row>
    <row r="2132" spans="1:20" ht="54.75" hidden="1" customHeight="1">
      <c r="A2132" s="273"/>
      <c r="B2132" s="481" t="str">
        <f t="shared" si="404"/>
        <v>B1702F1918N</v>
      </c>
      <c r="C2132" s="490" t="str">
        <f t="shared" si="404"/>
        <v>TECNOLOGIA DA INFORMAÇÃO CONDICAP</v>
      </c>
      <c r="D2132" s="483">
        <f t="shared" si="404"/>
        <v>8100</v>
      </c>
      <c r="E2132" s="484" t="str">
        <f t="shared" si="404"/>
        <v>108291</v>
      </c>
      <c r="F2132" s="526" t="str">
        <f t="shared" si="404"/>
        <v>ESCOLA DE APLICAÇÃO</v>
      </c>
      <c r="G2132" s="488" t="str">
        <f t="shared" si="404"/>
        <v>Aquisição e Manutenção de TI</v>
      </c>
      <c r="H2132" s="489">
        <f t="shared" si="404"/>
        <v>1</v>
      </c>
      <c r="I2132" s="473">
        <f t="shared" si="404"/>
        <v>44243</v>
      </c>
      <c r="J2132" s="473">
        <f t="shared" si="404"/>
        <v>0</v>
      </c>
      <c r="K2132" s="473">
        <f t="shared" si="404"/>
        <v>44243</v>
      </c>
      <c r="L2132" s="167">
        <f t="shared" si="404"/>
        <v>44243</v>
      </c>
      <c r="M2132" s="167">
        <f t="shared" si="404"/>
        <v>0</v>
      </c>
      <c r="N2132" s="167">
        <f t="shared" si="404"/>
        <v>44243</v>
      </c>
      <c r="O2132" s="405"/>
      <c r="P2132" s="405"/>
    </row>
    <row r="2133" spans="1:20" s="472" customFormat="1" ht="45" hidden="1" customHeight="1">
      <c r="A2133" s="478" t="s">
        <v>200</v>
      </c>
      <c r="B2133" s="1263" t="s">
        <v>200</v>
      </c>
      <c r="C2133" s="1264"/>
      <c r="D2133" s="1264"/>
      <c r="E2133" s="1264"/>
      <c r="F2133" s="1264"/>
      <c r="G2133" s="1264"/>
      <c r="H2133" s="1265"/>
      <c r="I2133" s="479">
        <f>SUM(I2130:I2132)</f>
        <v>976063</v>
      </c>
      <c r="J2133" s="479">
        <f>SUM(J2130:J2132)</f>
        <v>0</v>
      </c>
      <c r="K2133" s="479">
        <f>I2133+J2133</f>
        <v>976063</v>
      </c>
      <c r="L2133" s="480">
        <f>SUM(L2131:L2132)</f>
        <v>829651</v>
      </c>
      <c r="M2133" s="480">
        <f>SUM(M2131:M2132)</f>
        <v>0</v>
      </c>
      <c r="N2133" s="480">
        <f>SUM(N2131:N2132)</f>
        <v>829651</v>
      </c>
      <c r="O2133" s="470">
        <f>N96</f>
        <v>829651</v>
      </c>
      <c r="P2133" s="470">
        <f>N2133-O2133</f>
        <v>0</v>
      </c>
      <c r="Q2133" s="622"/>
      <c r="R2133" s="470"/>
      <c r="S2133" s="470"/>
      <c r="T2133" s="471"/>
    </row>
    <row r="2134" spans="1:20" s="82" customFormat="1" ht="45" hidden="1" customHeight="1">
      <c r="A2134" s="587"/>
      <c r="B2134" s="588"/>
      <c r="C2134" s="588"/>
      <c r="D2134" s="588"/>
      <c r="E2134" s="588"/>
      <c r="F2134" s="588"/>
      <c r="G2134" s="588"/>
      <c r="H2134" s="588"/>
      <c r="I2134" s="593"/>
      <c r="J2134" s="593"/>
      <c r="K2134" s="593"/>
      <c r="L2134" s="591"/>
      <c r="M2134" s="591"/>
      <c r="N2134" s="591"/>
      <c r="O2134" s="81"/>
      <c r="P2134" s="81"/>
      <c r="Q2134" s="628"/>
      <c r="R2134" s="81"/>
      <c r="S2134" s="81"/>
      <c r="T2134" s="592"/>
    </row>
    <row r="2135" spans="1:20" s="82" customFormat="1" ht="45" hidden="1" customHeight="1">
      <c r="A2135" s="587"/>
      <c r="B2135" s="588"/>
      <c r="C2135" s="588"/>
      <c r="D2135" s="588"/>
      <c r="E2135" s="588"/>
      <c r="F2135" s="588"/>
      <c r="G2135" s="588"/>
      <c r="H2135" s="588"/>
      <c r="I2135" s="593"/>
      <c r="J2135" s="593"/>
      <c r="K2135" s="593"/>
      <c r="L2135" s="591"/>
      <c r="M2135" s="591"/>
      <c r="N2135" s="591"/>
      <c r="O2135" s="81"/>
      <c r="P2135" s="81"/>
      <c r="Q2135" s="628"/>
      <c r="R2135" s="81"/>
      <c r="S2135" s="81"/>
      <c r="T2135" s="592"/>
    </row>
    <row r="2136" spans="1:20" ht="45" hidden="1" customHeight="1">
      <c r="A2136" s="356"/>
      <c r="B2136" s="605" t="s">
        <v>360</v>
      </c>
      <c r="C2136" s="356"/>
      <c r="D2136" s="356"/>
      <c r="E2136" s="356"/>
      <c r="F2136" s="356"/>
      <c r="G2136" s="356"/>
      <c r="H2136" s="356"/>
      <c r="I2136" s="356"/>
      <c r="J2136" s="356"/>
      <c r="K2136" s="356"/>
      <c r="L2136" s="356"/>
      <c r="M2136" s="356"/>
      <c r="N2136" s="356"/>
      <c r="O2136" s="27"/>
      <c r="P2136" s="27"/>
      <c r="Q2136" s="620"/>
      <c r="R2136" s="27"/>
      <c r="S2136" s="27"/>
      <c r="T2136" s="27"/>
    </row>
    <row r="2137" spans="1:20" s="500" customFormat="1" ht="90" hidden="1">
      <c r="A2137" s="496" t="s">
        <v>646</v>
      </c>
      <c r="B2137" s="497" t="s">
        <v>1062</v>
      </c>
      <c r="C2137" s="497" t="s">
        <v>37</v>
      </c>
      <c r="D2137" s="497" t="s">
        <v>440</v>
      </c>
      <c r="E2137" s="497" t="s">
        <v>16</v>
      </c>
      <c r="F2137" s="497" t="s">
        <v>185</v>
      </c>
      <c r="G2137" s="497" t="s">
        <v>178</v>
      </c>
      <c r="H2137" s="497" t="s">
        <v>179</v>
      </c>
      <c r="I2137" s="497" t="s">
        <v>180</v>
      </c>
      <c r="J2137" s="497" t="s">
        <v>181</v>
      </c>
      <c r="K2137" s="497" t="s">
        <v>200</v>
      </c>
      <c r="L2137" s="496" t="s">
        <v>180</v>
      </c>
      <c r="M2137" s="496" t="s">
        <v>181</v>
      </c>
      <c r="N2137" s="496" t="s">
        <v>200</v>
      </c>
      <c r="O2137" s="498" t="s">
        <v>200</v>
      </c>
      <c r="P2137" s="498" t="s">
        <v>200</v>
      </c>
      <c r="Q2137" s="622"/>
      <c r="R2137" s="498"/>
      <c r="S2137" s="498"/>
      <c r="T2137" s="499"/>
    </row>
    <row r="2138" spans="1:20" ht="54.75" hidden="1" customHeight="1">
      <c r="A2138" s="273"/>
      <c r="B2138" s="481" t="str">
        <f>B301</f>
        <v>M18A8G1901N</v>
      </c>
      <c r="C2138" s="483" t="str">
        <f t="shared" ref="C2138:P2138" si="405">C301</f>
        <v>AÇÕES ESTRATÉGICAS - AÇÃO 8282</v>
      </c>
      <c r="D2138" s="483">
        <f t="shared" si="405"/>
        <v>8108</v>
      </c>
      <c r="E2138" s="483">
        <f t="shared" si="405"/>
        <v>108290</v>
      </c>
      <c r="F2138" s="489" t="str">
        <f t="shared" si="405"/>
        <v>Gabinete da Reitoria - UGR: 151824</v>
      </c>
      <c r="G2138" s="483" t="str">
        <f t="shared" si="405"/>
        <v>Funcionamento da Unidade</v>
      </c>
      <c r="H2138" s="483">
        <f t="shared" si="405"/>
        <v>1</v>
      </c>
      <c r="I2138" s="473">
        <f t="shared" si="405"/>
        <v>0</v>
      </c>
      <c r="J2138" s="473">
        <f t="shared" si="405"/>
        <v>4446290</v>
      </c>
      <c r="K2138" s="473">
        <f t="shared" si="405"/>
        <v>4446290</v>
      </c>
      <c r="L2138" s="483">
        <f t="shared" si="405"/>
        <v>0</v>
      </c>
      <c r="M2138" s="483">
        <f t="shared" si="405"/>
        <v>4446290</v>
      </c>
      <c r="N2138" s="483">
        <f t="shared" si="405"/>
        <v>4446290</v>
      </c>
      <c r="O2138" s="483">
        <f t="shared" si="405"/>
        <v>0</v>
      </c>
      <c r="P2138" s="483">
        <f t="shared" si="405"/>
        <v>0</v>
      </c>
    </row>
    <row r="2139" spans="1:20" s="472" customFormat="1" ht="45" hidden="1" customHeight="1">
      <c r="A2139" s="478" t="s">
        <v>200</v>
      </c>
      <c r="B2139" s="1263" t="s">
        <v>200</v>
      </c>
      <c r="C2139" s="1264"/>
      <c r="D2139" s="1264"/>
      <c r="E2139" s="1264"/>
      <c r="F2139" s="1264"/>
      <c r="G2139" s="1264"/>
      <c r="H2139" s="1279"/>
      <c r="I2139" s="479">
        <f>SUM(I2138:I2138)</f>
        <v>0</v>
      </c>
      <c r="J2139" s="479">
        <f>SUM(J2138:J2138)</f>
        <v>4446290</v>
      </c>
      <c r="K2139" s="479">
        <f>I2139+J2139</f>
        <v>4446290</v>
      </c>
      <c r="L2139" s="479">
        <f>SUM(L2138:L2138)</f>
        <v>0</v>
      </c>
      <c r="M2139" s="479">
        <f>SUM(M2138:M2138)</f>
        <v>4446290</v>
      </c>
      <c r="N2139" s="479">
        <f>L2139+M2139</f>
        <v>4446290</v>
      </c>
      <c r="O2139" s="470">
        <f>N102</f>
        <v>0</v>
      </c>
      <c r="P2139" s="470">
        <f>N2139-O2139</f>
        <v>4446290</v>
      </c>
      <c r="Q2139" s="622"/>
      <c r="R2139" s="470"/>
      <c r="S2139" s="470"/>
      <c r="T2139" s="471"/>
    </row>
    <row r="2140" spans="1:20" s="82" customFormat="1" ht="45" hidden="1" customHeight="1">
      <c r="A2140" s="587"/>
      <c r="B2140" s="588"/>
      <c r="C2140" s="589"/>
      <c r="D2140" s="589"/>
      <c r="E2140" s="589"/>
      <c r="F2140" s="589"/>
      <c r="G2140" s="589"/>
      <c r="H2140" s="589"/>
      <c r="I2140" s="590"/>
      <c r="J2140" s="590"/>
      <c r="K2140" s="590"/>
      <c r="L2140" s="591"/>
      <c r="M2140" s="591"/>
      <c r="N2140" s="591"/>
      <c r="O2140" s="81"/>
      <c r="P2140" s="81"/>
      <c r="Q2140" s="628"/>
      <c r="R2140" s="81"/>
      <c r="S2140" s="81"/>
      <c r="T2140" s="592"/>
    </row>
    <row r="2141" spans="1:20" s="82" customFormat="1" ht="45" hidden="1" customHeight="1">
      <c r="A2141" s="587"/>
      <c r="B2141" s="588"/>
      <c r="C2141" s="588"/>
      <c r="D2141" s="588"/>
      <c r="E2141" s="588"/>
      <c r="F2141" s="588"/>
      <c r="G2141" s="588"/>
      <c r="H2141" s="588"/>
      <c r="I2141" s="593"/>
      <c r="J2141" s="593"/>
      <c r="K2141" s="593"/>
      <c r="L2141" s="422"/>
      <c r="M2141" s="422"/>
      <c r="N2141" s="422"/>
      <c r="O2141" s="81"/>
      <c r="P2141" s="81"/>
      <c r="Q2141" s="628"/>
      <c r="R2141" s="81"/>
      <c r="S2141" s="81"/>
      <c r="T2141" s="592"/>
    </row>
    <row r="2142" spans="1:20" ht="36" hidden="1" customHeight="1">
      <c r="A2142" s="27"/>
      <c r="B2142" s="27"/>
      <c r="C2142" s="1204" t="s">
        <v>51</v>
      </c>
      <c r="D2142" s="1204"/>
      <c r="E2142" s="1204"/>
      <c r="F2142" s="1204"/>
      <c r="G2142" s="68"/>
      <c r="H2142" s="68"/>
      <c r="I2142" s="68"/>
      <c r="J2142" s="68"/>
      <c r="K2142" s="68"/>
      <c r="L2142" s="79"/>
      <c r="M2142" s="79"/>
      <c r="N2142" s="79"/>
      <c r="O2142" s="27"/>
      <c r="P2142" s="27"/>
      <c r="Q2142" s="620"/>
      <c r="R2142" s="27"/>
      <c r="S2142" s="27"/>
      <c r="T2142" s="27"/>
    </row>
    <row r="2143" spans="1:20" ht="36" hidden="1" customHeight="1">
      <c r="A2143" s="27"/>
      <c r="B2143" s="27"/>
      <c r="C2143" s="1204" t="s">
        <v>52</v>
      </c>
      <c r="D2143" s="1204"/>
      <c r="E2143" s="1204"/>
      <c r="F2143" s="1204"/>
      <c r="G2143" s="68"/>
      <c r="H2143" s="68"/>
      <c r="I2143" s="68"/>
      <c r="J2143" s="68"/>
      <c r="K2143" s="68"/>
      <c r="L2143" s="79"/>
      <c r="M2143" s="79"/>
      <c r="N2143" s="79"/>
      <c r="O2143" s="27"/>
      <c r="P2143" s="27"/>
      <c r="Q2143" s="620"/>
      <c r="R2143" s="27"/>
      <c r="S2143" s="27"/>
      <c r="T2143" s="27"/>
    </row>
    <row r="2144" spans="1:20" ht="36" hidden="1" customHeight="1">
      <c r="A2144" s="27"/>
      <c r="B2144" s="27"/>
      <c r="C2144" s="1204" t="s">
        <v>50</v>
      </c>
      <c r="D2144" s="1204"/>
      <c r="E2144" s="1204"/>
      <c r="F2144" s="1204"/>
      <c r="O2144" s="27"/>
      <c r="P2144" s="27"/>
      <c r="Q2144" s="620"/>
      <c r="R2144" s="27"/>
      <c r="S2144" s="27"/>
      <c r="T2144" s="27"/>
    </row>
    <row r="2145" spans="1:20" ht="30" hidden="1" customHeight="1">
      <c r="A2145" s="27"/>
      <c r="B2145" s="27"/>
      <c r="C2145" s="17"/>
      <c r="D2145" s="17"/>
      <c r="E2145" s="17"/>
      <c r="F2145" s="17"/>
      <c r="J2145" s="22"/>
      <c r="O2145" s="27"/>
      <c r="P2145" s="27"/>
      <c r="Q2145" s="620"/>
      <c r="R2145" s="27"/>
      <c r="S2145" s="27"/>
      <c r="T2145" s="27"/>
    </row>
    <row r="2146" spans="1:20" ht="21.95" hidden="1" customHeight="1">
      <c r="A2146" s="27"/>
      <c r="B2146" s="27"/>
      <c r="F2146" s="27"/>
      <c r="O2146" s="27"/>
      <c r="P2146" s="27"/>
      <c r="Q2146" s="620"/>
      <c r="R2146" s="27"/>
      <c r="S2146" s="27"/>
      <c r="T2146" s="27"/>
    </row>
    <row r="2147" spans="1:20" ht="30" hidden="1" customHeight="1">
      <c r="A2147" s="349" t="s">
        <v>1060</v>
      </c>
      <c r="B2147" s="1226" t="s">
        <v>1061</v>
      </c>
      <c r="C2147" s="1226"/>
      <c r="D2147" s="1226"/>
      <c r="E2147" s="1226"/>
      <c r="F2147" s="1226"/>
      <c r="G2147" s="1226"/>
      <c r="H2147" s="1226"/>
      <c r="I2147" s="1226"/>
      <c r="J2147" s="1226"/>
      <c r="K2147" s="1226"/>
      <c r="L2147" s="349"/>
      <c r="M2147" s="349"/>
      <c r="N2147" s="349"/>
      <c r="O2147" s="27"/>
      <c r="P2147" s="27"/>
      <c r="Q2147" s="620"/>
      <c r="R2147" s="27"/>
      <c r="S2147" s="27"/>
      <c r="T2147" s="27"/>
    </row>
    <row r="2148" spans="1:20" ht="21.95" hidden="1" customHeight="1">
      <c r="A2148" s="27"/>
      <c r="B2148" s="27"/>
      <c r="F2148" s="27"/>
      <c r="O2148" s="27"/>
      <c r="P2148" s="27"/>
      <c r="Q2148" s="620"/>
      <c r="R2148" s="27"/>
      <c r="S2148" s="27"/>
      <c r="T2148" s="27"/>
    </row>
    <row r="2149" spans="1:20" ht="39.950000000000003" hidden="1" customHeight="1">
      <c r="A2149" s="356"/>
      <c r="B2149" s="605" t="s">
        <v>361</v>
      </c>
      <c r="C2149" s="356"/>
      <c r="D2149" s="356"/>
      <c r="E2149" s="356"/>
      <c r="F2149" s="356"/>
      <c r="G2149" s="356"/>
      <c r="H2149" s="356"/>
      <c r="I2149" s="356"/>
      <c r="J2149" s="356"/>
      <c r="K2149" s="356"/>
      <c r="L2149" s="356"/>
      <c r="M2149" s="356"/>
      <c r="N2149" s="356"/>
      <c r="O2149" s="27"/>
      <c r="P2149" s="27"/>
      <c r="Q2149" s="620"/>
      <c r="R2149" s="27"/>
      <c r="S2149" s="27"/>
      <c r="T2149" s="27"/>
    </row>
    <row r="2150" spans="1:20" s="500" customFormat="1" ht="90" hidden="1">
      <c r="A2150" s="496" t="s">
        <v>646</v>
      </c>
      <c r="B2150" s="497" t="s">
        <v>1062</v>
      </c>
      <c r="C2150" s="497" t="s">
        <v>37</v>
      </c>
      <c r="D2150" s="497" t="s">
        <v>440</v>
      </c>
      <c r="E2150" s="497" t="s">
        <v>16</v>
      </c>
      <c r="F2150" s="497" t="s">
        <v>185</v>
      </c>
      <c r="G2150" s="497" t="s">
        <v>178</v>
      </c>
      <c r="H2150" s="497" t="s">
        <v>179</v>
      </c>
      <c r="I2150" s="497" t="s">
        <v>180</v>
      </c>
      <c r="J2150" s="497" t="s">
        <v>181</v>
      </c>
      <c r="K2150" s="497" t="s">
        <v>200</v>
      </c>
      <c r="L2150" s="496" t="s">
        <v>180</v>
      </c>
      <c r="M2150" s="496" t="s">
        <v>181</v>
      </c>
      <c r="N2150" s="496" t="s">
        <v>200</v>
      </c>
      <c r="O2150" s="498" t="s">
        <v>200</v>
      </c>
      <c r="P2150" s="498" t="s">
        <v>200</v>
      </c>
      <c r="Q2150" s="622"/>
      <c r="R2150" s="498"/>
      <c r="S2150" s="498"/>
      <c r="T2150" s="499"/>
    </row>
    <row r="2151" spans="1:20" ht="54.75" hidden="1" customHeight="1">
      <c r="A2151" s="273"/>
      <c r="B2151" s="481" t="str">
        <f t="shared" ref="B2151:K2159" si="406">B634</f>
        <v>M1908G2301N</v>
      </c>
      <c r="C2151" s="490" t="str">
        <f t="shared" si="406"/>
        <v xml:space="preserve">TROTE/PREPARAÇÃO DE CALOUROS </v>
      </c>
      <c r="D2151" s="483" t="str">
        <f t="shared" si="406"/>
        <v>0100</v>
      </c>
      <c r="E2151" s="484" t="str">
        <f t="shared" si="406"/>
        <v>108289</v>
      </c>
      <c r="F2151" s="526" t="str">
        <f t="shared" si="406"/>
        <v>PROEX</v>
      </c>
      <c r="G2151" s="488" t="str">
        <f t="shared" si="406"/>
        <v>Alunos Atendidos</v>
      </c>
      <c r="H2151" s="489">
        <f t="shared" si="406"/>
        <v>10000</v>
      </c>
      <c r="I2151" s="473">
        <f t="shared" si="406"/>
        <v>30000</v>
      </c>
      <c r="J2151" s="473">
        <f t="shared" si="406"/>
        <v>0</v>
      </c>
      <c r="K2151" s="473">
        <f t="shared" si="406"/>
        <v>30000</v>
      </c>
      <c r="L2151" s="167">
        <f>L692</f>
        <v>437389</v>
      </c>
      <c r="M2151" s="167">
        <f>M692</f>
        <v>0</v>
      </c>
      <c r="N2151" s="167">
        <f>N692</f>
        <v>437389</v>
      </c>
      <c r="O2151" s="405"/>
      <c r="P2151" s="405"/>
    </row>
    <row r="2152" spans="1:20" ht="54.75" hidden="1" customHeight="1">
      <c r="A2152" s="273"/>
      <c r="B2152" s="481" t="str">
        <f t="shared" si="406"/>
        <v>M1915G2307N</v>
      </c>
      <c r="C2152" s="490" t="str">
        <f t="shared" si="406"/>
        <v>APOIO À EVENTOS DE ESTUDANTES</v>
      </c>
      <c r="D2152" s="483" t="str">
        <f t="shared" si="406"/>
        <v>0100</v>
      </c>
      <c r="E2152" s="484" t="str">
        <f t="shared" si="406"/>
        <v>108289</v>
      </c>
      <c r="F2152" s="526" t="str">
        <f t="shared" si="406"/>
        <v>PROEX</v>
      </c>
      <c r="G2152" s="488" t="str">
        <f t="shared" si="406"/>
        <v>Eventos Promovidos/Realizados</v>
      </c>
      <c r="H2152" s="489">
        <f t="shared" si="406"/>
        <v>3000</v>
      </c>
      <c r="I2152" s="473">
        <f t="shared" si="406"/>
        <v>200000</v>
      </c>
      <c r="J2152" s="473">
        <f t="shared" si="406"/>
        <v>0</v>
      </c>
      <c r="K2152" s="473">
        <f t="shared" si="406"/>
        <v>200000</v>
      </c>
      <c r="L2152" s="167">
        <f t="shared" ref="L2152:N2155" si="407">L701</f>
        <v>56271</v>
      </c>
      <c r="M2152" s="167">
        <f t="shared" si="407"/>
        <v>0</v>
      </c>
      <c r="N2152" s="167">
        <f t="shared" si="407"/>
        <v>56271</v>
      </c>
      <c r="O2152" s="405"/>
      <c r="P2152" s="405"/>
    </row>
    <row r="2153" spans="1:20" ht="54.75" hidden="1" customHeight="1">
      <c r="A2153" s="273"/>
      <c r="B2153" s="481" t="str">
        <f t="shared" si="406"/>
        <v>M1918G2302N</v>
      </c>
      <c r="C2153" s="490" t="str">
        <f t="shared" si="406"/>
        <v>PRÁTICAS ESPORTIVAS UNIVERSITÁRIAS</v>
      </c>
      <c r="D2153" s="483" t="str">
        <f t="shared" si="406"/>
        <v>0100</v>
      </c>
      <c r="E2153" s="484" t="str">
        <f t="shared" si="406"/>
        <v>108289</v>
      </c>
      <c r="F2153" s="526" t="str">
        <f t="shared" si="406"/>
        <v>PROEX</v>
      </c>
      <c r="G2153" s="488" t="str">
        <f t="shared" si="406"/>
        <v>Alunos Atendidos</v>
      </c>
      <c r="H2153" s="489">
        <f t="shared" si="406"/>
        <v>500</v>
      </c>
      <c r="I2153" s="473">
        <f t="shared" si="406"/>
        <v>250000</v>
      </c>
      <c r="J2153" s="473">
        <f t="shared" si="406"/>
        <v>0</v>
      </c>
      <c r="K2153" s="473">
        <f t="shared" si="406"/>
        <v>250000</v>
      </c>
      <c r="L2153" s="167">
        <f t="shared" si="407"/>
        <v>9665</v>
      </c>
      <c r="M2153" s="167">
        <f t="shared" si="407"/>
        <v>0</v>
      </c>
      <c r="N2153" s="167">
        <f t="shared" si="407"/>
        <v>9665</v>
      </c>
      <c r="O2153" s="405"/>
      <c r="P2153" s="405"/>
    </row>
    <row r="2154" spans="1:20" ht="54.75" hidden="1" customHeight="1">
      <c r="A2154" s="273"/>
      <c r="B2154" s="481" t="str">
        <f t="shared" si="406"/>
        <v>M1920G2307N</v>
      </c>
      <c r="C2154" s="490" t="str">
        <f t="shared" si="406"/>
        <v>BOLSA PERMANÊNCIA DE EXTENSÃO</v>
      </c>
      <c r="D2154" s="483" t="str">
        <f t="shared" si="406"/>
        <v>0100</v>
      </c>
      <c r="E2154" s="484" t="str">
        <f t="shared" si="406"/>
        <v>108289</v>
      </c>
      <c r="F2154" s="526" t="str">
        <f t="shared" si="406"/>
        <v>PROEX</v>
      </c>
      <c r="G2154" s="488" t="str">
        <f t="shared" si="406"/>
        <v>Bolsas Concedidas</v>
      </c>
      <c r="H2154" s="489">
        <f t="shared" si="406"/>
        <v>408</v>
      </c>
      <c r="I2154" s="473">
        <f t="shared" si="406"/>
        <v>1958400</v>
      </c>
      <c r="J2154" s="473">
        <f t="shared" si="406"/>
        <v>0</v>
      </c>
      <c r="K2154" s="473">
        <f t="shared" si="406"/>
        <v>1958400</v>
      </c>
      <c r="L2154" s="167">
        <f t="shared" si="407"/>
        <v>160000</v>
      </c>
      <c r="M2154" s="167">
        <f t="shared" si="407"/>
        <v>0</v>
      </c>
      <c r="N2154" s="167">
        <f t="shared" si="407"/>
        <v>160000</v>
      </c>
      <c r="O2154" s="405"/>
      <c r="P2154" s="405"/>
    </row>
    <row r="2155" spans="1:20" ht="54.75" hidden="1" customHeight="1">
      <c r="A2155" s="273"/>
      <c r="B2155" s="481" t="str">
        <f t="shared" si="406"/>
        <v>M1922G2307N</v>
      </c>
      <c r="C2155" s="490" t="str">
        <f t="shared" si="406"/>
        <v>BOLSAS CONEXÕES DE SABERES AÇÃO AFIRMATIVA</v>
      </c>
      <c r="D2155" s="483" t="str">
        <f t="shared" si="406"/>
        <v>0100</v>
      </c>
      <c r="E2155" s="484" t="str">
        <f t="shared" si="406"/>
        <v>108289</v>
      </c>
      <c r="F2155" s="526" t="str">
        <f t="shared" si="406"/>
        <v>PROEX</v>
      </c>
      <c r="G2155" s="488" t="str">
        <f t="shared" si="406"/>
        <v>Bolsas Ofertadas</v>
      </c>
      <c r="H2155" s="489">
        <f t="shared" si="406"/>
        <v>30</v>
      </c>
      <c r="I2155" s="473">
        <f t="shared" si="406"/>
        <v>144000</v>
      </c>
      <c r="J2155" s="473">
        <f t="shared" si="406"/>
        <v>0</v>
      </c>
      <c r="K2155" s="473">
        <f t="shared" si="406"/>
        <v>144000</v>
      </c>
      <c r="L2155" s="167">
        <f t="shared" si="407"/>
        <v>14029</v>
      </c>
      <c r="M2155" s="167">
        <f t="shared" si="407"/>
        <v>0</v>
      </c>
      <c r="N2155" s="167">
        <f t="shared" si="407"/>
        <v>14029</v>
      </c>
      <c r="O2155" s="405"/>
      <c r="P2155" s="405"/>
    </row>
    <row r="2156" spans="1:20" ht="54.75" hidden="1" customHeight="1">
      <c r="A2156" s="273"/>
      <c r="B2156" s="481" t="str">
        <f t="shared" si="406"/>
        <v>M1924G2307N</v>
      </c>
      <c r="C2156" s="490" t="str">
        <f t="shared" si="406"/>
        <v>PRÊMIO PROEX DE LITERATURA 2018</v>
      </c>
      <c r="D2156" s="483" t="str">
        <f t="shared" si="406"/>
        <v>0100</v>
      </c>
      <c r="E2156" s="484" t="str">
        <f t="shared" si="406"/>
        <v>108289</v>
      </c>
      <c r="F2156" s="526" t="str">
        <f t="shared" si="406"/>
        <v>PROEX</v>
      </c>
      <c r="G2156" s="488" t="str">
        <f t="shared" si="406"/>
        <v>Alunos Atendidos</v>
      </c>
      <c r="H2156" s="489">
        <f t="shared" si="406"/>
        <v>2000</v>
      </c>
      <c r="I2156" s="473">
        <f t="shared" si="406"/>
        <v>25000</v>
      </c>
      <c r="J2156" s="473">
        <f t="shared" si="406"/>
        <v>0</v>
      </c>
      <c r="K2156" s="473">
        <f t="shared" si="406"/>
        <v>25000</v>
      </c>
      <c r="L2156" s="167">
        <f>L516</f>
        <v>0</v>
      </c>
      <c r="M2156" s="167">
        <f>M516</f>
        <v>0</v>
      </c>
      <c r="N2156" s="167">
        <f>N516</f>
        <v>0</v>
      </c>
      <c r="O2156" s="405"/>
      <c r="P2156" s="405"/>
    </row>
    <row r="2157" spans="1:20" ht="54.75" hidden="1" customHeight="1">
      <c r="A2157" s="273"/>
      <c r="B2157" s="481" t="str">
        <f t="shared" si="406"/>
        <v>M1925G2310N</v>
      </c>
      <c r="C2157" s="490" t="str">
        <f t="shared" si="406"/>
        <v>REVISTA TUCUNDUBA</v>
      </c>
      <c r="D2157" s="483" t="str">
        <f t="shared" si="406"/>
        <v>0100</v>
      </c>
      <c r="E2157" s="484" t="str">
        <f t="shared" si="406"/>
        <v>108289</v>
      </c>
      <c r="F2157" s="526" t="str">
        <f t="shared" si="406"/>
        <v>PROEX</v>
      </c>
      <c r="G2157" s="488" t="str">
        <f t="shared" si="406"/>
        <v>Alunos Atendidos</v>
      </c>
      <c r="H2157" s="489">
        <f t="shared" si="406"/>
        <v>1000</v>
      </c>
      <c r="I2157" s="473">
        <f t="shared" si="406"/>
        <v>30000</v>
      </c>
      <c r="J2157" s="473">
        <f t="shared" si="406"/>
        <v>0</v>
      </c>
      <c r="K2157" s="473">
        <f t="shared" si="406"/>
        <v>30000</v>
      </c>
      <c r="L2157" s="167">
        <f>L634</f>
        <v>30000</v>
      </c>
      <c r="M2157" s="167">
        <f>M634</f>
        <v>0</v>
      </c>
      <c r="N2157" s="167">
        <f>N634</f>
        <v>30000</v>
      </c>
      <c r="O2157" s="405"/>
      <c r="P2157" s="405"/>
    </row>
    <row r="2158" spans="1:20" ht="54.75" hidden="1" customHeight="1">
      <c r="A2158" s="273"/>
      <c r="B2158" s="481" t="str">
        <f t="shared" si="406"/>
        <v>M1926G2307N</v>
      </c>
      <c r="C2158" s="490" t="str">
        <f t="shared" si="406"/>
        <v>PRÊMIO PROEX DE ARTE E CULTURA 2018</v>
      </c>
      <c r="D2158" s="483" t="str">
        <f t="shared" si="406"/>
        <v>0100</v>
      </c>
      <c r="E2158" s="484" t="str">
        <f t="shared" si="406"/>
        <v>108289</v>
      </c>
      <c r="F2158" s="526" t="str">
        <f t="shared" si="406"/>
        <v>PROEX</v>
      </c>
      <c r="G2158" s="488" t="str">
        <f t="shared" si="406"/>
        <v>Pessoa Atendida</v>
      </c>
      <c r="H2158" s="489">
        <f t="shared" si="406"/>
        <v>1000</v>
      </c>
      <c r="I2158" s="473">
        <f t="shared" si="406"/>
        <v>150000</v>
      </c>
      <c r="J2158" s="473">
        <f t="shared" si="406"/>
        <v>0</v>
      </c>
      <c r="K2158" s="473">
        <f t="shared" si="406"/>
        <v>150000</v>
      </c>
      <c r="L2158" s="167">
        <f>L696</f>
        <v>1293012</v>
      </c>
      <c r="M2158" s="167">
        <f>M696</f>
        <v>0</v>
      </c>
      <c r="N2158" s="167">
        <f>N696</f>
        <v>1293012</v>
      </c>
      <c r="O2158" s="405"/>
      <c r="P2158" s="405"/>
    </row>
    <row r="2159" spans="1:20" ht="54.75" hidden="1" customHeight="1">
      <c r="A2159" s="273"/>
      <c r="B2159" s="481" t="str">
        <f t="shared" si="406"/>
        <v>M1927G2301N</v>
      </c>
      <c r="C2159" s="490" t="str">
        <f t="shared" si="406"/>
        <v>VALORIZAÇÃO DO DISCENTE DO ICA</v>
      </c>
      <c r="D2159" s="483" t="str">
        <f t="shared" si="406"/>
        <v>0100</v>
      </c>
      <c r="E2159" s="484" t="str">
        <f t="shared" si="406"/>
        <v>108289</v>
      </c>
      <c r="F2159" s="526" t="str">
        <f t="shared" si="406"/>
        <v>PROEX</v>
      </c>
      <c r="G2159" s="488" t="str">
        <f t="shared" si="406"/>
        <v>Alunos Atendidos</v>
      </c>
      <c r="H2159" s="489">
        <f t="shared" si="406"/>
        <v>1</v>
      </c>
      <c r="I2159" s="473">
        <f t="shared" si="406"/>
        <v>124401</v>
      </c>
      <c r="J2159" s="473">
        <f t="shared" si="406"/>
        <v>0</v>
      </c>
      <c r="K2159" s="473">
        <f t="shared" si="406"/>
        <v>124401</v>
      </c>
      <c r="L2159" s="167" t="e">
        <f>#REF!</f>
        <v>#REF!</v>
      </c>
      <c r="M2159" s="167" t="e">
        <f>#REF!</f>
        <v>#REF!</v>
      </c>
      <c r="N2159" s="167" t="e">
        <f>#REF!</f>
        <v>#REF!</v>
      </c>
      <c r="O2159" s="405"/>
      <c r="P2159" s="405"/>
    </row>
    <row r="2160" spans="1:20" ht="54.75" hidden="1" customHeight="1">
      <c r="A2160" s="273"/>
      <c r="B2160" s="481" t="str">
        <f t="shared" ref="B2160:K2174" si="408">B692</f>
        <v>M1901G2301N</v>
      </c>
      <c r="C2160" s="490" t="str">
        <f t="shared" si="408"/>
        <v>ASSISTÊNCIA PSICOSSOCIAL AOS DISCENTES DA UFPA</v>
      </c>
      <c r="D2160" s="483" t="str">
        <f t="shared" si="408"/>
        <v>0100</v>
      </c>
      <c r="E2160" s="484" t="str">
        <f t="shared" si="408"/>
        <v>108289</v>
      </c>
      <c r="F2160" s="526" t="str">
        <f t="shared" si="408"/>
        <v>SAEST</v>
      </c>
      <c r="G2160" s="488" t="str">
        <f t="shared" si="408"/>
        <v>Estudante Participante</v>
      </c>
      <c r="H2160" s="489">
        <f t="shared" si="408"/>
        <v>600</v>
      </c>
      <c r="I2160" s="473">
        <f t="shared" si="408"/>
        <v>437389</v>
      </c>
      <c r="J2160" s="473">
        <f t="shared" si="408"/>
        <v>0</v>
      </c>
      <c r="K2160" s="473">
        <f t="shared" si="408"/>
        <v>437389</v>
      </c>
      <c r="L2160" s="167" t="e">
        <f>#REF!</f>
        <v>#REF!</v>
      </c>
      <c r="M2160" s="167" t="e">
        <f>#REF!</f>
        <v>#REF!</v>
      </c>
      <c r="N2160" s="167" t="e">
        <f>#REF!</f>
        <v>#REF!</v>
      </c>
      <c r="O2160" s="405"/>
      <c r="P2160" s="405"/>
    </row>
    <row r="2161" spans="1:20" ht="54.75" hidden="1" customHeight="1">
      <c r="A2161" s="273"/>
      <c r="B2161" s="481" t="str">
        <f t="shared" si="408"/>
        <v>M1903G2301N</v>
      </c>
      <c r="C2161" s="490" t="str">
        <f t="shared" si="408"/>
        <v>DESPESAS DE FUNCIONAMENTO DO RESTAURANTE UNIVERSITÁRIO</v>
      </c>
      <c r="D2161" s="483" t="str">
        <f t="shared" si="408"/>
        <v>0100</v>
      </c>
      <c r="E2161" s="484" t="str">
        <f t="shared" si="408"/>
        <v>108289</v>
      </c>
      <c r="F2161" s="526" t="str">
        <f t="shared" si="408"/>
        <v>SAEST</v>
      </c>
      <c r="G2161" s="488" t="str">
        <f t="shared" si="408"/>
        <v>Unidades Atendidas</v>
      </c>
      <c r="H2161" s="489">
        <f t="shared" si="408"/>
        <v>2</v>
      </c>
      <c r="I2161" s="473">
        <f t="shared" si="408"/>
        <v>3080000</v>
      </c>
      <c r="J2161" s="473">
        <f t="shared" si="408"/>
        <v>0</v>
      </c>
      <c r="K2161" s="473">
        <f t="shared" si="408"/>
        <v>3080000</v>
      </c>
      <c r="L2161" s="167" t="e">
        <f>#REF!</f>
        <v>#REF!</v>
      </c>
      <c r="M2161" s="167" t="e">
        <f>#REF!</f>
        <v>#REF!</v>
      </c>
      <c r="N2161" s="167" t="e">
        <f>#REF!</f>
        <v>#REF!</v>
      </c>
      <c r="O2161" s="405"/>
      <c r="P2161" s="405"/>
    </row>
    <row r="2162" spans="1:20" ht="54.75" hidden="1" customHeight="1">
      <c r="A2162" s="273"/>
      <c r="B2162" s="481" t="str">
        <f t="shared" si="408"/>
        <v>M1906G2301N</v>
      </c>
      <c r="C2162" s="490" t="str">
        <f t="shared" si="408"/>
        <v>APOIO A ATIVIDADES ACADÊMICA</v>
      </c>
      <c r="D2162" s="483" t="str">
        <f t="shared" si="408"/>
        <v>0100</v>
      </c>
      <c r="E2162" s="484" t="str">
        <f t="shared" si="408"/>
        <v>108289</v>
      </c>
      <c r="F2162" s="526" t="str">
        <f t="shared" si="408"/>
        <v>SAEST</v>
      </c>
      <c r="G2162" s="488" t="str">
        <f t="shared" si="408"/>
        <v>Estudante participante</v>
      </c>
      <c r="H2162" s="489">
        <f t="shared" si="408"/>
        <v>600</v>
      </c>
      <c r="I2162" s="473">
        <f t="shared" si="408"/>
        <v>660000</v>
      </c>
      <c r="J2162" s="473">
        <f t="shared" si="408"/>
        <v>0</v>
      </c>
      <c r="K2162" s="473">
        <f t="shared" si="408"/>
        <v>660000</v>
      </c>
      <c r="L2162" s="167">
        <f>L698</f>
        <v>100000</v>
      </c>
      <c r="M2162" s="167">
        <f>M698</f>
        <v>0</v>
      </c>
      <c r="N2162" s="167">
        <f>N698</f>
        <v>100000</v>
      </c>
      <c r="O2162" s="405"/>
      <c r="P2162" s="405"/>
    </row>
    <row r="2163" spans="1:20" ht="54.75" hidden="1" customHeight="1">
      <c r="A2163" s="273"/>
      <c r="B2163" s="481" t="str">
        <f t="shared" si="408"/>
        <v>M1909G2301N</v>
      </c>
      <c r="C2163" s="490" t="str">
        <f t="shared" si="408"/>
        <v>APOIO EM LÍNGUAS ESTRANGEIRAS</v>
      </c>
      <c r="D2163" s="483" t="str">
        <f t="shared" si="408"/>
        <v>0100</v>
      </c>
      <c r="E2163" s="484" t="str">
        <f t="shared" si="408"/>
        <v>108289</v>
      </c>
      <c r="F2163" s="526" t="str">
        <f t="shared" si="408"/>
        <v>SAEST</v>
      </c>
      <c r="G2163" s="488" t="str">
        <f t="shared" si="408"/>
        <v>Alunos Atendidos</v>
      </c>
      <c r="H2163" s="489">
        <f t="shared" si="408"/>
        <v>350</v>
      </c>
      <c r="I2163" s="473">
        <f t="shared" si="408"/>
        <v>150000</v>
      </c>
      <c r="J2163" s="473">
        <f t="shared" si="408"/>
        <v>0</v>
      </c>
      <c r="K2163" s="473">
        <f t="shared" si="408"/>
        <v>150000</v>
      </c>
      <c r="L2163" s="167">
        <f t="shared" ref="L2163:N2164" si="409">L635</f>
        <v>200000</v>
      </c>
      <c r="M2163" s="167">
        <f t="shared" si="409"/>
        <v>0</v>
      </c>
      <c r="N2163" s="167">
        <f t="shared" si="409"/>
        <v>200000</v>
      </c>
      <c r="O2163" s="405"/>
      <c r="P2163" s="405"/>
    </row>
    <row r="2164" spans="1:20" ht="54.75" hidden="1" customHeight="1">
      <c r="A2164" s="273"/>
      <c r="B2164" s="481" t="str">
        <f t="shared" si="408"/>
        <v>M1911G2301N</v>
      </c>
      <c r="C2164" s="490" t="str">
        <f t="shared" si="408"/>
        <v>APOIO AO ESTUDANTE UNIVERSITÁRIO</v>
      </c>
      <c r="D2164" s="483" t="str">
        <f t="shared" si="408"/>
        <v>0100</v>
      </c>
      <c r="E2164" s="484" t="str">
        <f t="shared" si="408"/>
        <v>108289</v>
      </c>
      <c r="F2164" s="526" t="str">
        <f t="shared" si="408"/>
        <v>SAEST</v>
      </c>
      <c r="G2164" s="488" t="str">
        <f t="shared" si="408"/>
        <v>Alunos Atendidos</v>
      </c>
      <c r="H2164" s="489">
        <f t="shared" si="408"/>
        <v>5000</v>
      </c>
      <c r="I2164" s="473">
        <f t="shared" si="408"/>
        <v>1293012</v>
      </c>
      <c r="J2164" s="473">
        <f t="shared" si="408"/>
        <v>0</v>
      </c>
      <c r="K2164" s="473">
        <f t="shared" si="408"/>
        <v>1293012</v>
      </c>
      <c r="L2164" s="167">
        <f t="shared" si="409"/>
        <v>250000</v>
      </c>
      <c r="M2164" s="167">
        <f t="shared" si="409"/>
        <v>0</v>
      </c>
      <c r="N2164" s="167">
        <f t="shared" si="409"/>
        <v>250000</v>
      </c>
      <c r="O2164" s="405"/>
      <c r="P2164" s="405"/>
    </row>
    <row r="2165" spans="1:20" ht="54.75" hidden="1" customHeight="1">
      <c r="A2165" s="273"/>
      <c r="B2165" s="481" t="str">
        <f t="shared" si="408"/>
        <v>M1912G2301N</v>
      </c>
      <c r="C2165" s="490" t="str">
        <f t="shared" si="408"/>
        <v>PROGRAMA ESTUDANTE SAUDÁVEL-PES</v>
      </c>
      <c r="D2165" s="483" t="str">
        <f t="shared" si="408"/>
        <v>0100</v>
      </c>
      <c r="E2165" s="484" t="str">
        <f t="shared" si="408"/>
        <v>108289</v>
      </c>
      <c r="F2165" s="526" t="str">
        <f t="shared" si="408"/>
        <v>SAEST</v>
      </c>
      <c r="G2165" s="488" t="str">
        <f t="shared" si="408"/>
        <v>Alunos Atendidos</v>
      </c>
      <c r="H2165" s="489">
        <f t="shared" si="408"/>
        <v>2500</v>
      </c>
      <c r="I2165" s="473">
        <f t="shared" si="408"/>
        <v>495534</v>
      </c>
      <c r="J2165" s="473">
        <f t="shared" si="408"/>
        <v>0</v>
      </c>
      <c r="K2165" s="473">
        <f t="shared" si="408"/>
        <v>495534</v>
      </c>
      <c r="L2165" s="167">
        <f>L699</f>
        <v>30000</v>
      </c>
      <c r="M2165" s="167">
        <f>M699</f>
        <v>0</v>
      </c>
      <c r="N2165" s="167">
        <f>N699</f>
        <v>30000</v>
      </c>
      <c r="O2165" s="405"/>
      <c r="P2165" s="405"/>
    </row>
    <row r="2166" spans="1:20" ht="54.75" hidden="1" customHeight="1">
      <c r="A2166" s="273"/>
      <c r="B2166" s="481" t="str">
        <f t="shared" si="408"/>
        <v>M1913G2301N</v>
      </c>
      <c r="C2166" s="490" t="str">
        <f t="shared" si="408"/>
        <v>KIT PEDAGÓGICO ACADÊMICO</v>
      </c>
      <c r="D2166" s="483" t="str">
        <f t="shared" si="408"/>
        <v>0100</v>
      </c>
      <c r="E2166" s="484" t="str">
        <f t="shared" si="408"/>
        <v>108289</v>
      </c>
      <c r="F2166" s="526" t="str">
        <f t="shared" si="408"/>
        <v>SAEST</v>
      </c>
      <c r="G2166" s="488" t="str">
        <f t="shared" si="408"/>
        <v>Unidades Atendidas</v>
      </c>
      <c r="H2166" s="489">
        <f t="shared" si="408"/>
        <v>100</v>
      </c>
      <c r="I2166" s="473">
        <f t="shared" si="408"/>
        <v>100000</v>
      </c>
      <c r="J2166" s="473">
        <f t="shared" si="408"/>
        <v>0</v>
      </c>
      <c r="K2166" s="473">
        <f t="shared" si="408"/>
        <v>100000</v>
      </c>
      <c r="L2166" s="167">
        <f t="shared" ref="L2166:N2168" si="410">L639</f>
        <v>25000</v>
      </c>
      <c r="M2166" s="167">
        <f t="shared" si="410"/>
        <v>0</v>
      </c>
      <c r="N2166" s="167">
        <f t="shared" si="410"/>
        <v>25000</v>
      </c>
      <c r="O2166" s="405"/>
      <c r="P2166" s="405"/>
    </row>
    <row r="2167" spans="1:20" ht="54.75" hidden="1" customHeight="1">
      <c r="A2167" s="273"/>
      <c r="B2167" s="481" t="str">
        <f t="shared" si="408"/>
        <v>M1919G2317N</v>
      </c>
      <c r="C2167" s="490" t="str">
        <f t="shared" si="408"/>
        <v>MANUTENÇÃO MORADIA ESTUDANTIL</v>
      </c>
      <c r="D2167" s="483" t="str">
        <f t="shared" si="408"/>
        <v>0100</v>
      </c>
      <c r="E2167" s="484" t="str">
        <f t="shared" si="408"/>
        <v>108289</v>
      </c>
      <c r="F2167" s="526" t="str">
        <f t="shared" si="408"/>
        <v>SAEST</v>
      </c>
      <c r="G2167" s="488" t="str">
        <f t="shared" si="408"/>
        <v>Alunos Atendidos</v>
      </c>
      <c r="H2167" s="489">
        <f t="shared" si="408"/>
        <v>250</v>
      </c>
      <c r="I2167" s="473">
        <f t="shared" si="408"/>
        <v>30000</v>
      </c>
      <c r="J2167" s="473">
        <f t="shared" si="408"/>
        <v>0</v>
      </c>
      <c r="K2167" s="473">
        <f t="shared" si="408"/>
        <v>30000</v>
      </c>
      <c r="L2167" s="167">
        <f t="shared" si="410"/>
        <v>30000</v>
      </c>
      <c r="M2167" s="167">
        <f t="shared" si="410"/>
        <v>0</v>
      </c>
      <c r="N2167" s="167">
        <f t="shared" si="410"/>
        <v>30000</v>
      </c>
      <c r="O2167" s="405"/>
      <c r="P2167" s="405"/>
    </row>
    <row r="2168" spans="1:20" ht="54.75" hidden="1" customHeight="1">
      <c r="A2168" s="273"/>
      <c r="B2168" s="481" t="str">
        <f t="shared" si="408"/>
        <v>M1923G2301N</v>
      </c>
      <c r="C2168" s="490" t="str">
        <f t="shared" si="408"/>
        <v>PROJETO DE INCLUSÃO CIDADÃ</v>
      </c>
      <c r="D2168" s="483" t="str">
        <f t="shared" si="408"/>
        <v>0100</v>
      </c>
      <c r="E2168" s="484" t="str">
        <f t="shared" si="408"/>
        <v>108289</v>
      </c>
      <c r="F2168" s="526" t="str">
        <f t="shared" si="408"/>
        <v>SAEST</v>
      </c>
      <c r="G2168" s="488" t="str">
        <f t="shared" si="408"/>
        <v>Alunos Atendidos</v>
      </c>
      <c r="H2168" s="489">
        <f t="shared" si="408"/>
        <v>2000</v>
      </c>
      <c r="I2168" s="473">
        <f t="shared" si="408"/>
        <v>448381</v>
      </c>
      <c r="J2168" s="473">
        <f t="shared" si="408"/>
        <v>0</v>
      </c>
      <c r="K2168" s="473">
        <f t="shared" si="408"/>
        <v>448381</v>
      </c>
      <c r="L2168" s="167">
        <f t="shared" si="410"/>
        <v>150000</v>
      </c>
      <c r="M2168" s="167">
        <f t="shared" si="410"/>
        <v>0</v>
      </c>
      <c r="N2168" s="167">
        <f t="shared" si="410"/>
        <v>150000</v>
      </c>
      <c r="O2168" s="405"/>
      <c r="P2168" s="405"/>
    </row>
    <row r="2169" spans="1:20" ht="54.75" hidden="1" customHeight="1">
      <c r="A2169" s="273"/>
      <c r="B2169" s="481" t="str">
        <f t="shared" si="408"/>
        <v>M1949G2301N</v>
      </c>
      <c r="C2169" s="490" t="str">
        <f t="shared" si="408"/>
        <v>CONTRATO DE LOCAÇÃO DA CASA DA ESTUDANTE UNIVERSITÁRIA - CAESUN</v>
      </c>
      <c r="D2169" s="483" t="str">
        <f t="shared" si="408"/>
        <v>0100</v>
      </c>
      <c r="E2169" s="484" t="str">
        <f t="shared" si="408"/>
        <v>108289</v>
      </c>
      <c r="F2169" s="526" t="str">
        <f t="shared" si="408"/>
        <v>SAEST</v>
      </c>
      <c r="G2169" s="488" t="str">
        <f t="shared" si="408"/>
        <v>Estudante Beneficiado</v>
      </c>
      <c r="H2169" s="489">
        <f t="shared" si="408"/>
        <v>20</v>
      </c>
      <c r="I2169" s="473">
        <f t="shared" si="408"/>
        <v>56271</v>
      </c>
      <c r="J2169" s="473">
        <f t="shared" si="408"/>
        <v>0</v>
      </c>
      <c r="K2169" s="473">
        <f t="shared" si="408"/>
        <v>56271</v>
      </c>
      <c r="L2169" s="167">
        <f t="shared" ref="L2169:N2170" si="411">L705</f>
        <v>1099519</v>
      </c>
      <c r="M2169" s="167">
        <f t="shared" si="411"/>
        <v>0</v>
      </c>
      <c r="N2169" s="167">
        <f t="shared" si="411"/>
        <v>1099519</v>
      </c>
      <c r="O2169" s="405"/>
      <c r="P2169" s="405"/>
    </row>
    <row r="2170" spans="1:20" ht="54.75" hidden="1" customHeight="1">
      <c r="A2170" s="273"/>
      <c r="B2170" s="481" t="str">
        <f t="shared" si="408"/>
        <v>M1950G2301N</v>
      </c>
      <c r="C2170" s="490" t="str">
        <f t="shared" si="408"/>
        <v>LOCAÇÃO DE IMÓVEL EM CASTANHAL - SR. ITAMAR</v>
      </c>
      <c r="D2170" s="483" t="str">
        <f t="shared" si="408"/>
        <v>0100</v>
      </c>
      <c r="E2170" s="484" t="str">
        <f t="shared" si="408"/>
        <v>108289</v>
      </c>
      <c r="F2170" s="526" t="str">
        <f t="shared" si="408"/>
        <v>SAEST</v>
      </c>
      <c r="G2170" s="488" t="str">
        <f t="shared" si="408"/>
        <v>Atendimento Realizado</v>
      </c>
      <c r="H2170" s="489">
        <f t="shared" si="408"/>
        <v>20</v>
      </c>
      <c r="I2170" s="473">
        <f t="shared" si="408"/>
        <v>9665</v>
      </c>
      <c r="J2170" s="473">
        <f t="shared" si="408"/>
        <v>0</v>
      </c>
      <c r="K2170" s="473">
        <f t="shared" si="408"/>
        <v>9665</v>
      </c>
      <c r="L2170" s="167">
        <f t="shared" si="411"/>
        <v>2400000</v>
      </c>
      <c r="M2170" s="167">
        <f t="shared" si="411"/>
        <v>0</v>
      </c>
      <c r="N2170" s="167">
        <f t="shared" si="411"/>
        <v>2400000</v>
      </c>
      <c r="O2170" s="405"/>
      <c r="P2170" s="405"/>
    </row>
    <row r="2171" spans="1:20" ht="54.75" hidden="1" customHeight="1">
      <c r="A2171" s="273"/>
      <c r="B2171" s="481" t="str">
        <f t="shared" si="408"/>
        <v>M1951G2317N</v>
      </c>
      <c r="C2171" s="490" t="str">
        <f t="shared" si="408"/>
        <v>MANUTENÇÃO DE EQUIPAMENTOS DE COZINHA DO RU</v>
      </c>
      <c r="D2171" s="483" t="str">
        <f t="shared" si="408"/>
        <v>0100</v>
      </c>
      <c r="E2171" s="484" t="str">
        <f t="shared" si="408"/>
        <v>108289</v>
      </c>
      <c r="F2171" s="526" t="str">
        <f t="shared" si="408"/>
        <v>SAEST</v>
      </c>
      <c r="G2171" s="488" t="str">
        <f t="shared" si="408"/>
        <v>Manutenção Realizada</v>
      </c>
      <c r="H2171" s="489">
        <f t="shared" si="408"/>
        <v>2</v>
      </c>
      <c r="I2171" s="473">
        <f t="shared" si="408"/>
        <v>160000</v>
      </c>
      <c r="J2171" s="473">
        <f t="shared" si="408"/>
        <v>0</v>
      </c>
      <c r="K2171" s="473">
        <f t="shared" si="408"/>
        <v>160000</v>
      </c>
      <c r="L2171" s="167">
        <f t="shared" ref="L2171:N2174" si="412">L693</f>
        <v>3080000</v>
      </c>
      <c r="M2171" s="167">
        <f t="shared" si="412"/>
        <v>0</v>
      </c>
      <c r="N2171" s="167">
        <f t="shared" si="412"/>
        <v>3080000</v>
      </c>
      <c r="O2171" s="405"/>
      <c r="P2171" s="405"/>
    </row>
    <row r="2172" spans="1:20" ht="54.75" hidden="1" customHeight="1">
      <c r="A2172" s="273"/>
      <c r="B2172" s="481" t="str">
        <f t="shared" si="408"/>
        <v>M1952G2301N</v>
      </c>
      <c r="C2172" s="490" t="str">
        <f t="shared" si="408"/>
        <v>LOCAÇÃO DE IMÓVEL EM CASTANHAL - SRª DANIELLE LIMA DO ROSÁRIO</v>
      </c>
      <c r="D2172" s="483" t="str">
        <f t="shared" si="408"/>
        <v>0100</v>
      </c>
      <c r="E2172" s="484" t="str">
        <f t="shared" si="408"/>
        <v>108289</v>
      </c>
      <c r="F2172" s="526" t="str">
        <f t="shared" si="408"/>
        <v>SAEST</v>
      </c>
      <c r="G2172" s="488" t="str">
        <f t="shared" si="408"/>
        <v>Estudante Beneficiado</v>
      </c>
      <c r="H2172" s="489">
        <f t="shared" si="408"/>
        <v>2</v>
      </c>
      <c r="I2172" s="473">
        <f t="shared" si="408"/>
        <v>14029</v>
      </c>
      <c r="J2172" s="473">
        <f t="shared" si="408"/>
        <v>0</v>
      </c>
      <c r="K2172" s="473">
        <f t="shared" si="408"/>
        <v>14029</v>
      </c>
      <c r="L2172" s="167">
        <f t="shared" si="412"/>
        <v>660000</v>
      </c>
      <c r="M2172" s="167">
        <f t="shared" si="412"/>
        <v>0</v>
      </c>
      <c r="N2172" s="167">
        <f t="shared" si="412"/>
        <v>660000</v>
      </c>
      <c r="O2172" s="405"/>
      <c r="P2172" s="405"/>
    </row>
    <row r="2173" spans="1:20" ht="54.75" hidden="1" customHeight="1">
      <c r="A2173" s="273"/>
      <c r="B2173" s="481" t="str">
        <f t="shared" si="408"/>
        <v>M1955G2306N</v>
      </c>
      <c r="C2173" s="490" t="str">
        <f t="shared" si="408"/>
        <v>PROJETO DE INTEGRAÇÃO ESTUDANTIL: ACESSO IGUALITÁRIO À FORMAÇÃO ACADÊMICA</v>
      </c>
      <c r="D2173" s="483" t="str">
        <f t="shared" si="408"/>
        <v>0100</v>
      </c>
      <c r="E2173" s="484" t="str">
        <f t="shared" si="408"/>
        <v>108289</v>
      </c>
      <c r="F2173" s="526" t="str">
        <f t="shared" si="408"/>
        <v>SAEST</v>
      </c>
      <c r="G2173" s="488" t="str">
        <f t="shared" si="408"/>
        <v>Alunos Atendidos</v>
      </c>
      <c r="H2173" s="489">
        <f t="shared" si="408"/>
        <v>3000</v>
      </c>
      <c r="I2173" s="473">
        <f t="shared" si="408"/>
        <v>1099519</v>
      </c>
      <c r="J2173" s="473">
        <f t="shared" si="408"/>
        <v>0</v>
      </c>
      <c r="K2173" s="473">
        <f t="shared" si="408"/>
        <v>1099519</v>
      </c>
      <c r="L2173" s="167">
        <f t="shared" si="412"/>
        <v>150000</v>
      </c>
      <c r="M2173" s="167">
        <f t="shared" si="412"/>
        <v>0</v>
      </c>
      <c r="N2173" s="167">
        <f t="shared" si="412"/>
        <v>150000</v>
      </c>
      <c r="O2173" s="405"/>
      <c r="P2173" s="405"/>
    </row>
    <row r="2174" spans="1:20" ht="54.75" hidden="1" customHeight="1">
      <c r="A2174" s="273"/>
      <c r="B2174" s="481" t="str">
        <f t="shared" si="408"/>
        <v>M1956G2301N</v>
      </c>
      <c r="C2174" s="490" t="str">
        <f t="shared" si="408"/>
        <v>CONTRATO DE PRESTAÇÃO DE SERVIÇOS AUXILIARES AO RU</v>
      </c>
      <c r="D2174" s="483" t="str">
        <f t="shared" si="408"/>
        <v>0100</v>
      </c>
      <c r="E2174" s="484" t="str">
        <f t="shared" si="408"/>
        <v>108289</v>
      </c>
      <c r="F2174" s="526" t="str">
        <f t="shared" si="408"/>
        <v>SAEST</v>
      </c>
      <c r="G2174" s="488" t="str">
        <f t="shared" si="408"/>
        <v>Pessoa Atendida</v>
      </c>
      <c r="H2174" s="489">
        <f t="shared" si="408"/>
        <v>1000</v>
      </c>
      <c r="I2174" s="473">
        <f t="shared" si="408"/>
        <v>2400000</v>
      </c>
      <c r="J2174" s="473">
        <f t="shared" si="408"/>
        <v>0</v>
      </c>
      <c r="K2174" s="473">
        <f t="shared" si="408"/>
        <v>2400000</v>
      </c>
      <c r="L2174" s="167">
        <f t="shared" si="412"/>
        <v>1293012</v>
      </c>
      <c r="M2174" s="167">
        <f t="shared" si="412"/>
        <v>0</v>
      </c>
      <c r="N2174" s="167">
        <f t="shared" si="412"/>
        <v>1293012</v>
      </c>
      <c r="O2174" s="405"/>
      <c r="P2174" s="405"/>
    </row>
    <row r="2175" spans="1:20" s="472" customFormat="1" ht="45" hidden="1" customHeight="1">
      <c r="A2175" s="478" t="s">
        <v>200</v>
      </c>
      <c r="B2175" s="1263" t="s">
        <v>200</v>
      </c>
      <c r="C2175" s="1264"/>
      <c r="D2175" s="1264"/>
      <c r="E2175" s="1264"/>
      <c r="F2175" s="1264"/>
      <c r="G2175" s="1264"/>
      <c r="H2175" s="1265"/>
      <c r="I2175" s="479">
        <f>SUM(I2151:I2174)</f>
        <v>13345601</v>
      </c>
      <c r="J2175" s="479">
        <f>SUM(J2151:J2174)</f>
        <v>0</v>
      </c>
      <c r="K2175" s="479">
        <f>I2175+J2175</f>
        <v>13345601</v>
      </c>
      <c r="L2175" s="480" t="e">
        <f>SUM(L2151:L2171)</f>
        <v>#REF!</v>
      </c>
      <c r="M2175" s="480" t="e">
        <f>SUM(M2151:M2171)</f>
        <v>#REF!</v>
      </c>
      <c r="N2175" s="480" t="e">
        <f>SUM(N2151:N2171)</f>
        <v>#REF!</v>
      </c>
      <c r="O2175" s="470">
        <f>N120</f>
        <v>13345601</v>
      </c>
      <c r="P2175" s="470" t="e">
        <f>N2175-O2175</f>
        <v>#REF!</v>
      </c>
      <c r="Q2175" s="622"/>
      <c r="R2175" s="470"/>
      <c r="S2175" s="470"/>
      <c r="T2175" s="471"/>
    </row>
    <row r="2176" spans="1:20" ht="21.95" hidden="1" customHeight="1">
      <c r="A2176" s="25" t="s">
        <v>268</v>
      </c>
      <c r="B2176" s="25"/>
      <c r="C2176" s="1286" t="s">
        <v>469</v>
      </c>
      <c r="D2176" s="1286"/>
      <c r="E2176" s="1286"/>
      <c r="F2176" s="1286"/>
      <c r="G2176" s="1286"/>
      <c r="H2176" s="1286"/>
      <c r="I2176" s="1286"/>
      <c r="J2176" s="1286"/>
      <c r="K2176" s="1286"/>
      <c r="L2176" s="1286"/>
      <c r="M2176" s="1286"/>
      <c r="N2176" s="1286"/>
      <c r="O2176" s="27"/>
      <c r="P2176" s="27"/>
      <c r="Q2176" s="620"/>
      <c r="R2176" s="27"/>
      <c r="S2176" s="27"/>
      <c r="T2176" s="27"/>
    </row>
    <row r="2177" spans="1:20" ht="21.95" hidden="1" customHeight="1">
      <c r="A2177" s="25"/>
      <c r="B2177" s="25"/>
      <c r="C2177" s="1290" t="s">
        <v>501</v>
      </c>
      <c r="D2177" s="1290"/>
      <c r="E2177" s="1290"/>
      <c r="F2177" s="1290"/>
      <c r="G2177" s="1290"/>
      <c r="H2177" s="1290"/>
      <c r="I2177" s="1290"/>
      <c r="J2177" s="1290"/>
      <c r="K2177" s="1290"/>
      <c r="L2177" s="1290"/>
      <c r="M2177" s="1290"/>
      <c r="N2177" s="1290"/>
      <c r="O2177" s="27"/>
      <c r="P2177" s="27"/>
      <c r="Q2177" s="620"/>
      <c r="R2177" s="27"/>
      <c r="S2177" s="27"/>
      <c r="T2177" s="27"/>
    </row>
    <row r="2178" spans="1:20" ht="21.95" hidden="1" customHeight="1">
      <c r="A2178" s="25"/>
      <c r="B2178" s="25"/>
      <c r="C2178" s="1290" t="s">
        <v>478</v>
      </c>
      <c r="D2178" s="1290"/>
      <c r="E2178" s="1290"/>
      <c r="F2178" s="1290"/>
      <c r="G2178" s="1290"/>
      <c r="H2178" s="1290"/>
      <c r="I2178" s="1290"/>
      <c r="J2178" s="1290"/>
      <c r="K2178" s="1290"/>
      <c r="L2178" s="1290"/>
      <c r="M2178" s="1290"/>
      <c r="N2178" s="1290"/>
      <c r="O2178" s="27"/>
      <c r="P2178" s="27"/>
      <c r="Q2178" s="620"/>
      <c r="R2178" s="27"/>
      <c r="S2178" s="27"/>
      <c r="T2178" s="27"/>
    </row>
    <row r="2179" spans="1:20" ht="21.95" hidden="1" customHeight="1">
      <c r="O2179" s="27"/>
      <c r="P2179" s="27"/>
      <c r="Q2179" s="620"/>
      <c r="R2179" s="27"/>
      <c r="S2179" s="27"/>
      <c r="T2179" s="27"/>
    </row>
    <row r="2180" spans="1:20" ht="35.1" hidden="1" customHeight="1"/>
    <row r="2181" spans="1:20" ht="30" hidden="1" customHeight="1">
      <c r="A2181" s="27"/>
      <c r="B2181" s="27"/>
      <c r="C2181" s="1204" t="s">
        <v>51</v>
      </c>
      <c r="D2181" s="1204"/>
      <c r="E2181" s="1204"/>
      <c r="F2181" s="1204"/>
      <c r="O2181" s="27"/>
      <c r="P2181" s="27"/>
      <c r="Q2181" s="620"/>
      <c r="R2181" s="27"/>
      <c r="S2181" s="27"/>
      <c r="T2181" s="27"/>
    </row>
    <row r="2182" spans="1:20" ht="35.1" hidden="1" customHeight="1">
      <c r="A2182" s="27"/>
      <c r="B2182" s="27"/>
      <c r="C2182" s="1204" t="s">
        <v>52</v>
      </c>
      <c r="D2182" s="1204"/>
      <c r="E2182" s="1204"/>
      <c r="F2182" s="1204"/>
      <c r="O2182" s="27"/>
      <c r="P2182" s="27"/>
      <c r="Q2182" s="620"/>
      <c r="R2182" s="27"/>
      <c r="S2182" s="27"/>
      <c r="T2182" s="27"/>
    </row>
    <row r="2183" spans="1:20" ht="34.5" hidden="1" customHeight="1">
      <c r="A2183" s="27"/>
      <c r="B2183" s="27"/>
      <c r="C2183" s="1204" t="s">
        <v>50</v>
      </c>
      <c r="D2183" s="1204"/>
      <c r="E2183" s="1204"/>
      <c r="F2183" s="1204"/>
      <c r="O2183" s="27"/>
      <c r="P2183" s="27"/>
      <c r="Q2183" s="620"/>
      <c r="R2183" s="27"/>
      <c r="S2183" s="27"/>
      <c r="T2183" s="27"/>
    </row>
    <row r="2184" spans="1:20" ht="7.5" hidden="1" customHeight="1">
      <c r="A2184" s="27"/>
      <c r="B2184" s="27"/>
      <c r="F2184" s="27"/>
      <c r="O2184" s="27"/>
      <c r="P2184" s="27"/>
      <c r="Q2184" s="620"/>
      <c r="R2184" s="27"/>
      <c r="S2184" s="27"/>
      <c r="T2184" s="27"/>
    </row>
    <row r="2185" spans="1:20" ht="7.5" hidden="1" customHeight="1">
      <c r="A2185" s="27"/>
      <c r="B2185" s="27"/>
      <c r="F2185" s="27"/>
      <c r="O2185" s="27"/>
      <c r="P2185" s="27"/>
      <c r="Q2185" s="620"/>
      <c r="R2185" s="27"/>
      <c r="S2185" s="27"/>
      <c r="T2185" s="27"/>
    </row>
    <row r="2186" spans="1:20" ht="30" hidden="1" customHeight="1">
      <c r="A2186" s="349" t="s">
        <v>1063</v>
      </c>
      <c r="B2186" s="1226" t="s">
        <v>1061</v>
      </c>
      <c r="C2186" s="1226"/>
      <c r="D2186" s="1226"/>
      <c r="E2186" s="1226"/>
      <c r="F2186" s="1226"/>
      <c r="G2186" s="1226"/>
      <c r="H2186" s="1226"/>
      <c r="I2186" s="1226"/>
      <c r="J2186" s="1226"/>
      <c r="K2186" s="1226"/>
      <c r="L2186" s="349"/>
      <c r="M2186" s="349"/>
      <c r="N2186" s="349"/>
      <c r="O2186" s="27"/>
      <c r="P2186" s="27"/>
      <c r="Q2186" s="620"/>
      <c r="R2186" s="27"/>
      <c r="S2186" s="27"/>
      <c r="T2186" s="27"/>
    </row>
    <row r="2187" spans="1:20" ht="24.95" hidden="1" customHeight="1">
      <c r="O2187" s="27"/>
      <c r="P2187" s="27"/>
      <c r="Q2187" s="620"/>
      <c r="R2187" s="27"/>
      <c r="S2187" s="27"/>
      <c r="T2187" s="27"/>
    </row>
    <row r="2188" spans="1:20" ht="37.5" hidden="1" customHeight="1">
      <c r="A2188" s="355"/>
      <c r="B2188" s="605" t="s">
        <v>362</v>
      </c>
      <c r="C2188" s="355"/>
      <c r="D2188" s="355"/>
      <c r="E2188" s="355"/>
      <c r="F2188" s="355"/>
      <c r="G2188" s="355"/>
      <c r="H2188" s="355"/>
      <c r="I2188" s="355"/>
      <c r="J2188" s="355"/>
      <c r="K2188" s="355"/>
      <c r="L2188" s="355"/>
      <c r="M2188" s="355"/>
      <c r="N2188" s="355"/>
      <c r="O2188" s="27"/>
      <c r="P2188" s="27"/>
      <c r="Q2188" s="620"/>
      <c r="R2188" s="27"/>
      <c r="S2188" s="27"/>
      <c r="T2188" s="27"/>
    </row>
    <row r="2189" spans="1:20" s="500" customFormat="1" ht="90" hidden="1">
      <c r="A2189" s="496" t="s">
        <v>646</v>
      </c>
      <c r="B2189" s="497" t="s">
        <v>1062</v>
      </c>
      <c r="C2189" s="497" t="s">
        <v>37</v>
      </c>
      <c r="D2189" s="497" t="s">
        <v>440</v>
      </c>
      <c r="E2189" s="497" t="s">
        <v>16</v>
      </c>
      <c r="F2189" s="497" t="s">
        <v>185</v>
      </c>
      <c r="G2189" s="497" t="s">
        <v>178</v>
      </c>
      <c r="H2189" s="497" t="s">
        <v>179</v>
      </c>
      <c r="I2189" s="497" t="s">
        <v>180</v>
      </c>
      <c r="J2189" s="497" t="s">
        <v>181</v>
      </c>
      <c r="K2189" s="497" t="s">
        <v>200</v>
      </c>
      <c r="L2189" s="496" t="s">
        <v>180</v>
      </c>
      <c r="M2189" s="496" t="s">
        <v>181</v>
      </c>
      <c r="N2189" s="496" t="s">
        <v>200</v>
      </c>
      <c r="O2189" s="498"/>
      <c r="P2189" s="498"/>
      <c r="Q2189" s="622"/>
      <c r="R2189" s="498"/>
      <c r="S2189" s="498"/>
      <c r="T2189" s="499"/>
    </row>
    <row r="2190" spans="1:20" ht="54.75" hidden="1" customHeight="1">
      <c r="A2190" s="273"/>
      <c r="B2190" s="481" t="str">
        <f t="shared" ref="B2190:N2191" si="413">B395</f>
        <v>M2001G0118N</v>
      </c>
      <c r="C2190" s="490" t="str">
        <f t="shared" si="413"/>
        <v>AQUISIÇÃO DE MATERIAL E SERVIÇOS DE TECNOLOGIA DA INFORMAÇÃO</v>
      </c>
      <c r="D2190" s="483">
        <f t="shared" si="413"/>
        <v>8100</v>
      </c>
      <c r="E2190" s="484">
        <f t="shared" si="413"/>
        <v>108288</v>
      </c>
      <c r="F2190" s="526" t="str">
        <f t="shared" si="413"/>
        <v>PROAD</v>
      </c>
      <c r="G2190" s="488" t="str">
        <f t="shared" si="413"/>
        <v>Aquisição de Material de Consumo</v>
      </c>
      <c r="H2190" s="489">
        <f t="shared" si="413"/>
        <v>1</v>
      </c>
      <c r="I2190" s="473">
        <f t="shared" si="413"/>
        <v>332630</v>
      </c>
      <c r="J2190" s="473">
        <f t="shared" si="413"/>
        <v>0</v>
      </c>
      <c r="K2190" s="473">
        <f t="shared" si="413"/>
        <v>332630</v>
      </c>
      <c r="L2190" s="167">
        <f t="shared" si="413"/>
        <v>332630</v>
      </c>
      <c r="M2190" s="167">
        <f t="shared" si="413"/>
        <v>0</v>
      </c>
      <c r="N2190" s="167">
        <f t="shared" si="413"/>
        <v>332630</v>
      </c>
      <c r="O2190" s="405"/>
      <c r="P2190" s="405"/>
    </row>
    <row r="2191" spans="1:20" ht="54.75" hidden="1" customHeight="1">
      <c r="A2191" s="273"/>
      <c r="B2191" s="481" t="str">
        <f t="shared" si="413"/>
        <v>M2015G0118N</v>
      </c>
      <c r="C2191" s="490" t="str">
        <f t="shared" si="413"/>
        <v>AQUISIÇÃO DE MATERIAL E SERVIÇOS DE TECNOLOGIA DA INFORMAÇÃO - PROAD</v>
      </c>
      <c r="D2191" s="483">
        <f t="shared" si="413"/>
        <v>8100</v>
      </c>
      <c r="E2191" s="484">
        <f t="shared" si="413"/>
        <v>108288</v>
      </c>
      <c r="F2191" s="526" t="str">
        <f t="shared" si="413"/>
        <v>PROAD</v>
      </c>
      <c r="G2191" s="488" t="str">
        <f t="shared" si="413"/>
        <v>Aquisição de Material de Consumo</v>
      </c>
      <c r="H2191" s="489">
        <f t="shared" si="413"/>
        <v>1</v>
      </c>
      <c r="I2191" s="473">
        <f t="shared" si="413"/>
        <v>30000</v>
      </c>
      <c r="J2191" s="473">
        <f t="shared" si="413"/>
        <v>0</v>
      </c>
      <c r="K2191" s="473">
        <f t="shared" si="413"/>
        <v>30000</v>
      </c>
      <c r="L2191" s="167">
        <f t="shared" si="413"/>
        <v>30000</v>
      </c>
      <c r="M2191" s="167">
        <f t="shared" si="413"/>
        <v>0</v>
      </c>
      <c r="N2191" s="167">
        <f t="shared" si="413"/>
        <v>30000</v>
      </c>
      <c r="O2191" s="405"/>
      <c r="P2191" s="405"/>
    </row>
    <row r="2192" spans="1:20" ht="54.75" hidden="1" customHeight="1">
      <c r="A2192" s="273"/>
      <c r="B2192" s="481" t="str">
        <f t="shared" ref="B2192:N2195" si="414">B822</f>
        <v>M2003G0118N</v>
      </c>
      <c r="C2192" s="490" t="str">
        <f t="shared" si="414"/>
        <v>PARTICIPAÇÃO NA IMPLANTAÇÃO E MANUTENÇÃO DO SIG E OUTROS SITEMAS RELACIONADOS</v>
      </c>
      <c r="D2192" s="483">
        <f t="shared" si="414"/>
        <v>8100</v>
      </c>
      <c r="E2192" s="484">
        <f t="shared" si="414"/>
        <v>108288</v>
      </c>
      <c r="F2192" s="526" t="str">
        <f t="shared" si="414"/>
        <v>CTIC</v>
      </c>
      <c r="G2192" s="488" t="str">
        <f t="shared" si="414"/>
        <v>Bolsa Ofertada</v>
      </c>
      <c r="H2192" s="489">
        <f t="shared" si="414"/>
        <v>30</v>
      </c>
      <c r="I2192" s="473">
        <f t="shared" si="414"/>
        <v>246000</v>
      </c>
      <c r="J2192" s="473">
        <f t="shared" si="414"/>
        <v>0</v>
      </c>
      <c r="K2192" s="473">
        <f t="shared" si="414"/>
        <v>246000</v>
      </c>
      <c r="L2192" s="167">
        <f t="shared" si="414"/>
        <v>246000</v>
      </c>
      <c r="M2192" s="167">
        <f t="shared" si="414"/>
        <v>0</v>
      </c>
      <c r="N2192" s="167">
        <f t="shared" si="414"/>
        <v>246000</v>
      </c>
      <c r="O2192" s="405"/>
      <c r="P2192" s="405"/>
    </row>
    <row r="2193" spans="1:16" ht="54.75" hidden="1" customHeight="1">
      <c r="A2193" s="273"/>
      <c r="B2193" s="481" t="str">
        <f t="shared" si="414"/>
        <v>M2004G0118N</v>
      </c>
      <c r="C2193" s="490" t="str">
        <f t="shared" si="414"/>
        <v>MANUTENÇÃO E CONSERVAÇÃO DE EQUIPAMENTOS ELETRO-ELETRÔNICOS</v>
      </c>
      <c r="D2193" s="483">
        <f t="shared" si="414"/>
        <v>8100</v>
      </c>
      <c r="E2193" s="484">
        <f t="shared" si="414"/>
        <v>108288</v>
      </c>
      <c r="F2193" s="526" t="str">
        <f t="shared" si="414"/>
        <v>CTIC</v>
      </c>
      <c r="G2193" s="488" t="str">
        <f t="shared" si="414"/>
        <v>Equipamentos Recuperados</v>
      </c>
      <c r="H2193" s="489">
        <f t="shared" si="414"/>
        <v>7</v>
      </c>
      <c r="I2193" s="473">
        <f t="shared" si="414"/>
        <v>70000</v>
      </c>
      <c r="J2193" s="473">
        <f t="shared" si="414"/>
        <v>0</v>
      </c>
      <c r="K2193" s="473">
        <f t="shared" si="414"/>
        <v>70000</v>
      </c>
      <c r="L2193" s="167">
        <f t="shared" si="414"/>
        <v>70000</v>
      </c>
      <c r="M2193" s="167">
        <f t="shared" si="414"/>
        <v>0</v>
      </c>
      <c r="N2193" s="167">
        <f t="shared" si="414"/>
        <v>70000</v>
      </c>
      <c r="O2193" s="405"/>
      <c r="P2193" s="405"/>
    </row>
    <row r="2194" spans="1:16" ht="54.75" hidden="1" customHeight="1">
      <c r="A2194" s="273"/>
      <c r="B2194" s="481" t="str">
        <f t="shared" si="414"/>
        <v>M2005G0118N</v>
      </c>
      <c r="C2194" s="490" t="str">
        <f t="shared" si="414"/>
        <v>MANUTENÇÃO E EXPANSÃO DA INFRA-ESTRUTURA DA REDE ÓTICA E LÓGICA</v>
      </c>
      <c r="D2194" s="483">
        <f t="shared" si="414"/>
        <v>8100</v>
      </c>
      <c r="E2194" s="484">
        <f t="shared" si="414"/>
        <v>108288</v>
      </c>
      <c r="F2194" s="526" t="str">
        <f t="shared" si="414"/>
        <v>CTIC</v>
      </c>
      <c r="G2194" s="488" t="str">
        <f t="shared" si="414"/>
        <v>Serviços Realizados</v>
      </c>
      <c r="H2194" s="489">
        <f t="shared" si="414"/>
        <v>2</v>
      </c>
      <c r="I2194" s="473">
        <f t="shared" si="414"/>
        <v>500000</v>
      </c>
      <c r="J2194" s="473">
        <f t="shared" si="414"/>
        <v>0</v>
      </c>
      <c r="K2194" s="473">
        <f t="shared" si="414"/>
        <v>500000</v>
      </c>
      <c r="L2194" s="167">
        <f t="shared" si="414"/>
        <v>500000</v>
      </c>
      <c r="M2194" s="167">
        <f t="shared" si="414"/>
        <v>0</v>
      </c>
      <c r="N2194" s="167">
        <f t="shared" si="414"/>
        <v>500000</v>
      </c>
      <c r="O2194" s="405"/>
      <c r="P2194" s="405"/>
    </row>
    <row r="2195" spans="1:16" ht="54.75" hidden="1" customHeight="1">
      <c r="A2195" s="273"/>
      <c r="B2195" s="481" t="str">
        <f t="shared" si="414"/>
        <v>M2012G0118N</v>
      </c>
      <c r="C2195" s="490" t="str">
        <f t="shared" si="414"/>
        <v>AQUISIÇÃO DE MATERIAL DE CONSUMO DE USO RESTRITO DE TIC</v>
      </c>
      <c r="D2195" s="483">
        <f t="shared" si="414"/>
        <v>8100</v>
      </c>
      <c r="E2195" s="484">
        <f t="shared" si="414"/>
        <v>108288</v>
      </c>
      <c r="F2195" s="526" t="str">
        <f t="shared" si="414"/>
        <v>CTIC</v>
      </c>
      <c r="G2195" s="488" t="str">
        <f t="shared" si="414"/>
        <v>Material de Consumo</v>
      </c>
      <c r="H2195" s="489">
        <f t="shared" si="414"/>
        <v>1</v>
      </c>
      <c r="I2195" s="473">
        <f t="shared" si="414"/>
        <v>33471</v>
      </c>
      <c r="J2195" s="473">
        <f t="shared" si="414"/>
        <v>0</v>
      </c>
      <c r="K2195" s="473">
        <f t="shared" si="414"/>
        <v>33471</v>
      </c>
      <c r="L2195" s="167">
        <f t="shared" si="414"/>
        <v>33471</v>
      </c>
      <c r="M2195" s="167">
        <f t="shared" si="414"/>
        <v>0</v>
      </c>
      <c r="N2195" s="167">
        <f t="shared" si="414"/>
        <v>33471</v>
      </c>
      <c r="O2195" s="405"/>
      <c r="P2195" s="405"/>
    </row>
    <row r="2196" spans="1:16" ht="54.75" hidden="1" customHeight="1">
      <c r="A2196" s="273"/>
      <c r="B2196" s="481" t="str">
        <f t="shared" ref="B2196:N2197" si="415">B947</f>
        <v>M2007G1918N</v>
      </c>
      <c r="C2196" s="490" t="str">
        <f t="shared" si="415"/>
        <v>TECNOLOGIA DA INFORMAÇÃO DAS UNIDADES ACADÊMICAS</v>
      </c>
      <c r="D2196" s="483">
        <f t="shared" si="415"/>
        <v>8100</v>
      </c>
      <c r="E2196" s="484">
        <f t="shared" si="415"/>
        <v>108288</v>
      </c>
      <c r="F2196" s="526" t="str">
        <f t="shared" si="415"/>
        <v>ESCOLA DE APLICAÇÃO</v>
      </c>
      <c r="G2196" s="488" t="str">
        <f t="shared" si="415"/>
        <v>Aquisição e Manutenção de TI</v>
      </c>
      <c r="H2196" s="489">
        <f t="shared" si="415"/>
        <v>1</v>
      </c>
      <c r="I2196" s="473">
        <f t="shared" si="415"/>
        <v>35657</v>
      </c>
      <c r="J2196" s="473">
        <f t="shared" si="415"/>
        <v>10466</v>
      </c>
      <c r="K2196" s="473">
        <f t="shared" si="415"/>
        <v>46123</v>
      </c>
      <c r="L2196" s="167">
        <f t="shared" si="415"/>
        <v>35657</v>
      </c>
      <c r="M2196" s="167">
        <f t="shared" si="415"/>
        <v>10466</v>
      </c>
      <c r="N2196" s="167">
        <f t="shared" si="415"/>
        <v>46123</v>
      </c>
      <c r="O2196" s="405"/>
      <c r="P2196" s="405"/>
    </row>
    <row r="2197" spans="1:16" ht="54.75" hidden="1" customHeight="1">
      <c r="A2197" s="273"/>
      <c r="B2197" s="481" t="str">
        <f t="shared" si="415"/>
        <v>M2016G0118N</v>
      </c>
      <c r="C2197" s="490" t="str">
        <f t="shared" si="415"/>
        <v>AQUISIÇÃO DE EQUIPAMENTOS DE TIC PARA AS UNIDADES ACADÊMICAS</v>
      </c>
      <c r="D2197" s="483">
        <f t="shared" si="415"/>
        <v>112</v>
      </c>
      <c r="E2197" s="484">
        <f t="shared" si="415"/>
        <v>108288</v>
      </c>
      <c r="F2197" s="526" t="str">
        <f t="shared" si="415"/>
        <v>ESCOLA DE APLICAÇÃO</v>
      </c>
      <c r="G2197" s="488" t="str">
        <f t="shared" si="415"/>
        <v>Aquisição de Equipamento</v>
      </c>
      <c r="H2197" s="489">
        <f t="shared" si="415"/>
        <v>0</v>
      </c>
      <c r="I2197" s="473">
        <f t="shared" si="415"/>
        <v>0</v>
      </c>
      <c r="J2197" s="473">
        <f t="shared" si="415"/>
        <v>0</v>
      </c>
      <c r="K2197" s="473">
        <f t="shared" si="415"/>
        <v>0</v>
      </c>
      <c r="L2197" s="167"/>
      <c r="M2197" s="167"/>
      <c r="N2197" s="167"/>
      <c r="O2197" s="405"/>
      <c r="P2197" s="405"/>
    </row>
    <row r="2198" spans="1:16" ht="54.75" hidden="1" customHeight="1">
      <c r="A2198" s="273"/>
      <c r="B2198" s="481" t="str">
        <f t="shared" ref="B2198:N2199" si="416">B963</f>
        <v>M2007G1918N</v>
      </c>
      <c r="C2198" s="490" t="str">
        <f t="shared" si="416"/>
        <v>TECNOLOGIA DA INFORMAÇÃO DAS UNIDADES ACADÊMICAS</v>
      </c>
      <c r="D2198" s="483">
        <f t="shared" si="416"/>
        <v>8100</v>
      </c>
      <c r="E2198" s="484">
        <f t="shared" si="416"/>
        <v>108288</v>
      </c>
      <c r="F2198" s="526" t="str">
        <f t="shared" si="416"/>
        <v>ICB</v>
      </c>
      <c r="G2198" s="488" t="str">
        <f t="shared" si="416"/>
        <v>Aquisição e Manutenção de TI</v>
      </c>
      <c r="H2198" s="489">
        <f t="shared" si="416"/>
        <v>1</v>
      </c>
      <c r="I2198" s="473">
        <f t="shared" si="416"/>
        <v>30000</v>
      </c>
      <c r="J2198" s="473">
        <f t="shared" si="416"/>
        <v>18500</v>
      </c>
      <c r="K2198" s="473">
        <f t="shared" si="416"/>
        <v>48500</v>
      </c>
      <c r="L2198" s="167">
        <f t="shared" si="416"/>
        <v>30000</v>
      </c>
      <c r="M2198" s="167">
        <f t="shared" si="416"/>
        <v>18500</v>
      </c>
      <c r="N2198" s="167">
        <f t="shared" si="416"/>
        <v>48500</v>
      </c>
      <c r="O2198" s="405"/>
      <c r="P2198" s="405"/>
    </row>
    <row r="2199" spans="1:16" ht="54.75" hidden="1" customHeight="1">
      <c r="A2199" s="273"/>
      <c r="B2199" s="481" t="str">
        <f t="shared" si="416"/>
        <v>M2016G0118N</v>
      </c>
      <c r="C2199" s="490" t="str">
        <f t="shared" si="416"/>
        <v>AQUISIÇÃO DE EQUIPAMENTOS DE TIC PARA AS UNIDADES ACADÊMICAS</v>
      </c>
      <c r="D2199" s="483">
        <f t="shared" si="416"/>
        <v>112</v>
      </c>
      <c r="E2199" s="484">
        <f t="shared" si="416"/>
        <v>108288</v>
      </c>
      <c r="F2199" s="526" t="str">
        <f t="shared" si="416"/>
        <v>ICB</v>
      </c>
      <c r="G2199" s="488" t="str">
        <f t="shared" si="416"/>
        <v>Aquisição de Equipamento</v>
      </c>
      <c r="H2199" s="489">
        <f t="shared" si="416"/>
        <v>0</v>
      </c>
      <c r="I2199" s="473">
        <f t="shared" si="416"/>
        <v>0</v>
      </c>
      <c r="J2199" s="473">
        <f t="shared" si="416"/>
        <v>0</v>
      </c>
      <c r="K2199" s="473">
        <f t="shared" si="416"/>
        <v>0</v>
      </c>
      <c r="L2199" s="167"/>
      <c r="M2199" s="167"/>
      <c r="N2199" s="167"/>
      <c r="O2199" s="405"/>
      <c r="P2199" s="405"/>
    </row>
    <row r="2200" spans="1:16" ht="54.75" hidden="1" customHeight="1">
      <c r="A2200" s="273"/>
      <c r="B2200" s="481" t="str">
        <f t="shared" ref="B2200:N2201" si="417">B994</f>
        <v>M2007G1918N</v>
      </c>
      <c r="C2200" s="490" t="str">
        <f t="shared" si="417"/>
        <v>TECNOLOGIA DA INFORMAÇÃO DAS UNIDADES ACADÊMICAS</v>
      </c>
      <c r="D2200" s="483">
        <f t="shared" si="417"/>
        <v>8100</v>
      </c>
      <c r="E2200" s="484">
        <f t="shared" si="417"/>
        <v>108288</v>
      </c>
      <c r="F2200" s="526" t="str">
        <f t="shared" si="417"/>
        <v>ICS</v>
      </c>
      <c r="G2200" s="488" t="str">
        <f t="shared" si="417"/>
        <v>Manutenção Realizada</v>
      </c>
      <c r="H2200" s="489">
        <f t="shared" si="417"/>
        <v>1</v>
      </c>
      <c r="I2200" s="473">
        <f t="shared" si="417"/>
        <v>10938</v>
      </c>
      <c r="J2200" s="473">
        <f t="shared" si="417"/>
        <v>24058</v>
      </c>
      <c r="K2200" s="473">
        <f t="shared" si="417"/>
        <v>34996</v>
      </c>
      <c r="L2200" s="167">
        <f t="shared" si="417"/>
        <v>10938</v>
      </c>
      <c r="M2200" s="167">
        <f t="shared" si="417"/>
        <v>24058</v>
      </c>
      <c r="N2200" s="167">
        <f t="shared" si="417"/>
        <v>34996</v>
      </c>
      <c r="O2200" s="405"/>
      <c r="P2200" s="405"/>
    </row>
    <row r="2201" spans="1:16" ht="54.75" hidden="1" customHeight="1">
      <c r="A2201" s="273"/>
      <c r="B2201" s="481" t="str">
        <f t="shared" si="417"/>
        <v>M2016G0118N</v>
      </c>
      <c r="C2201" s="490" t="str">
        <f t="shared" si="417"/>
        <v>AQUISIÇÃO DE EQUIPAMENTOS DE TIC PARA AS UNIDADES ACADÊMICAS</v>
      </c>
      <c r="D2201" s="483">
        <f t="shared" si="417"/>
        <v>112</v>
      </c>
      <c r="E2201" s="484">
        <f t="shared" si="417"/>
        <v>108288</v>
      </c>
      <c r="F2201" s="526" t="str">
        <f t="shared" si="417"/>
        <v>ICS</v>
      </c>
      <c r="G2201" s="488" t="str">
        <f t="shared" si="417"/>
        <v>Aquisição de Equipamento</v>
      </c>
      <c r="H2201" s="489">
        <f t="shared" si="417"/>
        <v>0</v>
      </c>
      <c r="I2201" s="473">
        <f t="shared" si="417"/>
        <v>0</v>
      </c>
      <c r="J2201" s="473">
        <f t="shared" si="417"/>
        <v>0</v>
      </c>
      <c r="K2201" s="473">
        <f t="shared" si="417"/>
        <v>0</v>
      </c>
      <c r="L2201" s="167"/>
      <c r="M2201" s="167"/>
      <c r="N2201" s="167"/>
      <c r="O2201" s="405"/>
      <c r="P2201" s="405"/>
    </row>
    <row r="2202" spans="1:16" ht="54.75" hidden="1" customHeight="1">
      <c r="A2202" s="273"/>
      <c r="B2202" s="481" t="str">
        <f t="shared" ref="B2202:N2203" si="418">B1005</f>
        <v>M2007G1918N</v>
      </c>
      <c r="C2202" s="490" t="str">
        <f t="shared" si="418"/>
        <v>TECNOLOGIA DA INFORMAÇÃO DAS UNIDADES ACADÊMICAS</v>
      </c>
      <c r="D2202" s="483">
        <f t="shared" si="418"/>
        <v>8100</v>
      </c>
      <c r="E2202" s="484">
        <f t="shared" si="418"/>
        <v>108288</v>
      </c>
      <c r="F2202" s="526" t="str">
        <f t="shared" si="418"/>
        <v>ICEN</v>
      </c>
      <c r="G2202" s="488" t="str">
        <f t="shared" si="418"/>
        <v>Aquisição e Manutenção de TI</v>
      </c>
      <c r="H2202" s="489">
        <f t="shared" si="418"/>
        <v>1</v>
      </c>
      <c r="I2202" s="473">
        <f t="shared" si="418"/>
        <v>20000</v>
      </c>
      <c r="J2202" s="473">
        <f t="shared" si="418"/>
        <v>26288</v>
      </c>
      <c r="K2202" s="473">
        <f t="shared" si="418"/>
        <v>46288</v>
      </c>
      <c r="L2202" s="167">
        <f t="shared" si="418"/>
        <v>20000</v>
      </c>
      <c r="M2202" s="167">
        <f t="shared" si="418"/>
        <v>26288</v>
      </c>
      <c r="N2202" s="167">
        <f t="shared" si="418"/>
        <v>46288</v>
      </c>
      <c r="O2202" s="405"/>
      <c r="P2202" s="405"/>
    </row>
    <row r="2203" spans="1:16" ht="54.75" hidden="1" customHeight="1">
      <c r="A2203" s="273"/>
      <c r="B2203" s="481" t="str">
        <f t="shared" si="418"/>
        <v>M2016G0118N</v>
      </c>
      <c r="C2203" s="490" t="str">
        <f t="shared" si="418"/>
        <v>AQUISIÇÃO DE EQUIPAMENTOS DE TIC PARA AS UNIDADES ACADÊMICAS</v>
      </c>
      <c r="D2203" s="483">
        <f t="shared" si="418"/>
        <v>112</v>
      </c>
      <c r="E2203" s="484">
        <f t="shared" si="418"/>
        <v>108288</v>
      </c>
      <c r="F2203" s="526" t="str">
        <f t="shared" si="418"/>
        <v>ICEN</v>
      </c>
      <c r="G2203" s="488" t="str">
        <f t="shared" si="418"/>
        <v>Aquisição de Equipamento</v>
      </c>
      <c r="H2203" s="489">
        <f t="shared" si="418"/>
        <v>0</v>
      </c>
      <c r="I2203" s="473">
        <f t="shared" si="418"/>
        <v>0</v>
      </c>
      <c r="J2203" s="473">
        <f t="shared" si="418"/>
        <v>0</v>
      </c>
      <c r="K2203" s="473">
        <f t="shared" si="418"/>
        <v>0</v>
      </c>
      <c r="L2203" s="167"/>
      <c r="M2203" s="167"/>
      <c r="N2203" s="167"/>
      <c r="O2203" s="405"/>
      <c r="P2203" s="405"/>
    </row>
    <row r="2204" spans="1:16" ht="54.75" hidden="1" customHeight="1">
      <c r="A2204" s="273"/>
      <c r="B2204" s="481" t="str">
        <f t="shared" ref="B2204:N2205" si="419">B1033</f>
        <v>M2007G1918N</v>
      </c>
      <c r="C2204" s="490" t="str">
        <f t="shared" si="419"/>
        <v>TECNOLOGIA DA INFORMAÇÃO DAS UNIDADES ACADÊMICAS</v>
      </c>
      <c r="D2204" s="483">
        <f t="shared" si="419"/>
        <v>8100</v>
      </c>
      <c r="E2204" s="484">
        <f t="shared" si="419"/>
        <v>108288</v>
      </c>
      <c r="F2204" s="526" t="str">
        <f t="shared" si="419"/>
        <v>ICJ</v>
      </c>
      <c r="G2204" s="488" t="str">
        <f t="shared" si="419"/>
        <v>Aquisição e Manutenção de TI</v>
      </c>
      <c r="H2204" s="489">
        <f t="shared" si="419"/>
        <v>1</v>
      </c>
      <c r="I2204" s="473">
        <f t="shared" si="419"/>
        <v>8543</v>
      </c>
      <c r="J2204" s="473">
        <f t="shared" si="419"/>
        <v>10000</v>
      </c>
      <c r="K2204" s="473">
        <f t="shared" si="419"/>
        <v>18543</v>
      </c>
      <c r="L2204" s="167">
        <f t="shared" si="419"/>
        <v>8543</v>
      </c>
      <c r="M2204" s="167">
        <f t="shared" si="419"/>
        <v>10000</v>
      </c>
      <c r="N2204" s="167">
        <f t="shared" si="419"/>
        <v>18543</v>
      </c>
      <c r="O2204" s="405"/>
      <c r="P2204" s="405"/>
    </row>
    <row r="2205" spans="1:16" ht="54.75" hidden="1" customHeight="1">
      <c r="A2205" s="273"/>
      <c r="B2205" s="481" t="str">
        <f t="shared" si="419"/>
        <v>M2016G0118N</v>
      </c>
      <c r="C2205" s="490" t="str">
        <f t="shared" si="419"/>
        <v>AQUISIÇÃO DE EQUIPAMENTOS DE TIC PARA AS UNIDADES ACADÊMICAS</v>
      </c>
      <c r="D2205" s="483">
        <f t="shared" si="419"/>
        <v>112</v>
      </c>
      <c r="E2205" s="484">
        <f t="shared" si="419"/>
        <v>108288</v>
      </c>
      <c r="F2205" s="526" t="str">
        <f t="shared" si="419"/>
        <v>ICJ</v>
      </c>
      <c r="G2205" s="488" t="str">
        <f t="shared" si="419"/>
        <v>Aquisição de Equipamento</v>
      </c>
      <c r="H2205" s="489">
        <f t="shared" si="419"/>
        <v>0</v>
      </c>
      <c r="I2205" s="473">
        <f t="shared" si="419"/>
        <v>0</v>
      </c>
      <c r="J2205" s="473">
        <f t="shared" si="419"/>
        <v>0</v>
      </c>
      <c r="K2205" s="473">
        <f t="shared" si="419"/>
        <v>0</v>
      </c>
      <c r="L2205" s="167"/>
      <c r="M2205" s="167"/>
      <c r="N2205" s="167"/>
      <c r="O2205" s="405"/>
      <c r="P2205" s="405"/>
    </row>
    <row r="2206" spans="1:16" ht="54.75" hidden="1" customHeight="1">
      <c r="A2206" s="273"/>
      <c r="B2206" s="481" t="str">
        <f t="shared" ref="B2206:N2207" si="420">B1045</f>
        <v>M2007G1918N</v>
      </c>
      <c r="C2206" s="490" t="str">
        <f t="shared" si="420"/>
        <v>TECNOLOGIA DA INFORMAÇÃO DAS UNIDADES ACADÊMICAS</v>
      </c>
      <c r="D2206" s="483">
        <f t="shared" si="420"/>
        <v>8100</v>
      </c>
      <c r="E2206" s="484">
        <f t="shared" si="420"/>
        <v>108288</v>
      </c>
      <c r="F2206" s="526" t="str">
        <f t="shared" si="420"/>
        <v>ICED</v>
      </c>
      <c r="G2206" s="488" t="str">
        <f t="shared" si="420"/>
        <v>Aquisição e Manutenção de TI</v>
      </c>
      <c r="H2206" s="489">
        <f t="shared" si="420"/>
        <v>1</v>
      </c>
      <c r="I2206" s="473">
        <f t="shared" si="420"/>
        <v>40000</v>
      </c>
      <c r="J2206" s="473">
        <f t="shared" si="420"/>
        <v>8787</v>
      </c>
      <c r="K2206" s="473">
        <f t="shared" si="420"/>
        <v>48787</v>
      </c>
      <c r="L2206" s="167">
        <f t="shared" si="420"/>
        <v>40000</v>
      </c>
      <c r="M2206" s="167">
        <f t="shared" si="420"/>
        <v>8787</v>
      </c>
      <c r="N2206" s="167">
        <f t="shared" si="420"/>
        <v>48787</v>
      </c>
      <c r="O2206" s="405"/>
      <c r="P2206" s="405"/>
    </row>
    <row r="2207" spans="1:16" ht="54.75" hidden="1" customHeight="1">
      <c r="A2207" s="273"/>
      <c r="B2207" s="481" t="str">
        <f t="shared" si="420"/>
        <v>M2016G0118N</v>
      </c>
      <c r="C2207" s="490" t="str">
        <f t="shared" si="420"/>
        <v>AQUISIÇÃO DE EQUIPAMENTOS DE TIC PARA AS UNIDADES ACADÊMICAS</v>
      </c>
      <c r="D2207" s="483">
        <f t="shared" si="420"/>
        <v>112</v>
      </c>
      <c r="E2207" s="484">
        <f t="shared" si="420"/>
        <v>108288</v>
      </c>
      <c r="F2207" s="526" t="str">
        <f t="shared" si="420"/>
        <v>ICED</v>
      </c>
      <c r="G2207" s="488" t="str">
        <f t="shared" si="420"/>
        <v>Aquisição de Equipamento</v>
      </c>
      <c r="H2207" s="489">
        <f t="shared" si="420"/>
        <v>0</v>
      </c>
      <c r="I2207" s="473">
        <f t="shared" si="420"/>
        <v>0</v>
      </c>
      <c r="J2207" s="473">
        <f t="shared" si="420"/>
        <v>0</v>
      </c>
      <c r="K2207" s="473">
        <f t="shared" si="420"/>
        <v>0</v>
      </c>
      <c r="L2207" s="167"/>
      <c r="M2207" s="167"/>
      <c r="N2207" s="167"/>
      <c r="O2207" s="405"/>
      <c r="P2207" s="405"/>
    </row>
    <row r="2208" spans="1:16" ht="54.75" hidden="1" customHeight="1">
      <c r="A2208" s="273"/>
      <c r="B2208" s="481" t="str">
        <f t="shared" ref="B2208:N2209" si="421">B1078</f>
        <v>M2007G1918N</v>
      </c>
      <c r="C2208" s="490" t="str">
        <f t="shared" si="421"/>
        <v>TECNOLOGIA DA INFORMAÇÃO DAS UNIDADES ACADÊMICAS</v>
      </c>
      <c r="D2208" s="483">
        <f t="shared" si="421"/>
        <v>8100</v>
      </c>
      <c r="E2208" s="484">
        <f t="shared" si="421"/>
        <v>108288</v>
      </c>
      <c r="F2208" s="526" t="str">
        <f t="shared" si="421"/>
        <v>IFCH</v>
      </c>
      <c r="G2208" s="488" t="str">
        <f t="shared" si="421"/>
        <v>Aquisição e Manutenção de TI</v>
      </c>
      <c r="H2208" s="489">
        <f t="shared" si="421"/>
        <v>1</v>
      </c>
      <c r="I2208" s="473">
        <f t="shared" si="421"/>
        <v>30712</v>
      </c>
      <c r="J2208" s="473">
        <f t="shared" si="421"/>
        <v>15000</v>
      </c>
      <c r="K2208" s="473">
        <f t="shared" si="421"/>
        <v>45712</v>
      </c>
      <c r="L2208" s="167">
        <f t="shared" si="421"/>
        <v>30712</v>
      </c>
      <c r="M2208" s="167">
        <f t="shared" si="421"/>
        <v>15000</v>
      </c>
      <c r="N2208" s="167">
        <f t="shared" si="421"/>
        <v>45712</v>
      </c>
      <c r="O2208" s="405"/>
      <c r="P2208" s="405"/>
    </row>
    <row r="2209" spans="1:20" ht="54.75" hidden="1" customHeight="1">
      <c r="A2209" s="273"/>
      <c r="B2209" s="481" t="str">
        <f t="shared" si="421"/>
        <v>M2016G0118N</v>
      </c>
      <c r="C2209" s="490" t="str">
        <f t="shared" si="421"/>
        <v>AQUISIÇÃO DE EQUIPAMENTOS DE TIC PARA AS UNIDADES ACADÊMICAS</v>
      </c>
      <c r="D2209" s="483">
        <f t="shared" si="421"/>
        <v>112</v>
      </c>
      <c r="E2209" s="484">
        <f t="shared" si="421"/>
        <v>108288</v>
      </c>
      <c r="F2209" s="526" t="str">
        <f t="shared" si="421"/>
        <v>IFCH</v>
      </c>
      <c r="G2209" s="488" t="str">
        <f t="shared" si="421"/>
        <v>Aquisição de Equipamento</v>
      </c>
      <c r="H2209" s="489">
        <f t="shared" si="421"/>
        <v>0</v>
      </c>
      <c r="I2209" s="473">
        <f t="shared" si="421"/>
        <v>0</v>
      </c>
      <c r="J2209" s="473">
        <f t="shared" si="421"/>
        <v>0</v>
      </c>
      <c r="K2209" s="473">
        <f t="shared" si="421"/>
        <v>0</v>
      </c>
      <c r="L2209" s="167"/>
      <c r="M2209" s="167"/>
      <c r="N2209" s="167"/>
      <c r="O2209" s="405"/>
      <c r="P2209" s="405"/>
    </row>
    <row r="2210" spans="1:20" ht="54.75" hidden="1" customHeight="1">
      <c r="A2210" s="273"/>
      <c r="B2210" s="481" t="str">
        <f t="shared" ref="B2210:N2211" si="422">B1092</f>
        <v>M2007G1918N</v>
      </c>
      <c r="C2210" s="490" t="str">
        <f t="shared" si="422"/>
        <v>TECNOLOGIA DA INFORMAÇÃO DAS UNIDADES ACADÊMICAS</v>
      </c>
      <c r="D2210" s="483">
        <f t="shared" si="422"/>
        <v>8100</v>
      </c>
      <c r="E2210" s="484">
        <f t="shared" si="422"/>
        <v>108288</v>
      </c>
      <c r="F2210" s="526" t="str">
        <f t="shared" si="422"/>
        <v>IG</v>
      </c>
      <c r="G2210" s="488" t="str">
        <f t="shared" si="422"/>
        <v>Aquisição e Manutenção de TI</v>
      </c>
      <c r="H2210" s="489">
        <f t="shared" si="422"/>
        <v>1</v>
      </c>
      <c r="I2210" s="473">
        <f t="shared" si="422"/>
        <v>33121</v>
      </c>
      <c r="J2210" s="473">
        <f t="shared" si="422"/>
        <v>9315</v>
      </c>
      <c r="K2210" s="473">
        <f t="shared" si="422"/>
        <v>42436</v>
      </c>
      <c r="L2210" s="167">
        <f t="shared" si="422"/>
        <v>33121</v>
      </c>
      <c r="M2210" s="167">
        <f t="shared" si="422"/>
        <v>9315</v>
      </c>
      <c r="N2210" s="167">
        <f t="shared" si="422"/>
        <v>42436</v>
      </c>
      <c r="O2210" s="405"/>
      <c r="P2210" s="405"/>
    </row>
    <row r="2211" spans="1:20" ht="54.75" hidden="1" customHeight="1">
      <c r="A2211" s="273"/>
      <c r="B2211" s="481" t="str">
        <f t="shared" si="422"/>
        <v>M2016G0118N</v>
      </c>
      <c r="C2211" s="490" t="str">
        <f t="shared" si="422"/>
        <v>AQUISIÇÃO DE EQUIPAMENTOS DE TIC PARA AS UNIDADES ACADÊMICAS</v>
      </c>
      <c r="D2211" s="483">
        <f t="shared" si="422"/>
        <v>112</v>
      </c>
      <c r="E2211" s="484">
        <f t="shared" si="422"/>
        <v>108288</v>
      </c>
      <c r="F2211" s="526" t="str">
        <f t="shared" si="422"/>
        <v>IG</v>
      </c>
      <c r="G2211" s="488" t="str">
        <f t="shared" si="422"/>
        <v>Aquisição de Equipamento</v>
      </c>
      <c r="H2211" s="489">
        <f t="shared" si="422"/>
        <v>0</v>
      </c>
      <c r="I2211" s="473">
        <f t="shared" si="422"/>
        <v>0</v>
      </c>
      <c r="J2211" s="473">
        <f t="shared" si="422"/>
        <v>0</v>
      </c>
      <c r="K2211" s="473">
        <f t="shared" si="422"/>
        <v>0</v>
      </c>
      <c r="L2211" s="167"/>
      <c r="M2211" s="167"/>
      <c r="N2211" s="167"/>
      <c r="O2211" s="405"/>
      <c r="P2211" s="405"/>
    </row>
    <row r="2212" spans="1:20" ht="54.75" hidden="1" customHeight="1">
      <c r="A2212" s="273"/>
      <c r="B2212" s="481" t="str">
        <f t="shared" ref="B2212:N2213" si="423">B1119</f>
        <v>M2007G1918N</v>
      </c>
      <c r="C2212" s="490" t="str">
        <f t="shared" si="423"/>
        <v>TECNOLOGIA DA INFORMAÇÃO DAS UNIDADES ACADÊMICAS</v>
      </c>
      <c r="D2212" s="483">
        <f t="shared" si="423"/>
        <v>8100</v>
      </c>
      <c r="E2212" s="484">
        <f t="shared" si="423"/>
        <v>108288</v>
      </c>
      <c r="F2212" s="526" t="str">
        <f t="shared" si="423"/>
        <v>ILC</v>
      </c>
      <c r="G2212" s="488" t="str">
        <f t="shared" si="423"/>
        <v>Aquisição e Manutenção de TI</v>
      </c>
      <c r="H2212" s="489">
        <f t="shared" si="423"/>
        <v>1</v>
      </c>
      <c r="I2212" s="473">
        <f t="shared" si="423"/>
        <v>38050</v>
      </c>
      <c r="J2212" s="473">
        <f t="shared" si="423"/>
        <v>10432</v>
      </c>
      <c r="K2212" s="473">
        <f t="shared" si="423"/>
        <v>48482</v>
      </c>
      <c r="L2212" s="167">
        <f t="shared" si="423"/>
        <v>38050</v>
      </c>
      <c r="M2212" s="167">
        <f t="shared" si="423"/>
        <v>10432</v>
      </c>
      <c r="N2212" s="167">
        <f t="shared" si="423"/>
        <v>48482</v>
      </c>
      <c r="O2212" s="405"/>
      <c r="P2212" s="405"/>
    </row>
    <row r="2213" spans="1:20" ht="54.75" hidden="1" customHeight="1">
      <c r="A2213" s="273"/>
      <c r="B2213" s="481" t="str">
        <f t="shared" si="423"/>
        <v>M2016G0118N</v>
      </c>
      <c r="C2213" s="490" t="str">
        <f t="shared" si="423"/>
        <v>AQUISIÇÃO DE EQUIPAMENTOS DE TIC PARA AS UNIDADES ACADÊMICAS</v>
      </c>
      <c r="D2213" s="483">
        <f t="shared" si="423"/>
        <v>100</v>
      </c>
      <c r="E2213" s="484">
        <f t="shared" si="423"/>
        <v>108288</v>
      </c>
      <c r="F2213" s="526" t="str">
        <f t="shared" si="423"/>
        <v>ILC</v>
      </c>
      <c r="G2213" s="488" t="str">
        <f t="shared" si="423"/>
        <v>Aquisição de Equipamento</v>
      </c>
      <c r="H2213" s="489">
        <f t="shared" si="423"/>
        <v>0</v>
      </c>
      <c r="I2213" s="473">
        <f t="shared" si="423"/>
        <v>0</v>
      </c>
      <c r="J2213" s="473">
        <f t="shared" si="423"/>
        <v>0</v>
      </c>
      <c r="K2213" s="473">
        <f t="shared" si="423"/>
        <v>0</v>
      </c>
      <c r="L2213" s="167"/>
      <c r="M2213" s="167"/>
      <c r="N2213" s="167"/>
      <c r="O2213" s="405"/>
      <c r="P2213" s="405"/>
    </row>
    <row r="2214" spans="1:20" ht="54.75" hidden="1" customHeight="1">
      <c r="A2214" s="273"/>
      <c r="B2214" s="481" t="str">
        <f t="shared" ref="B2214:N2215" si="424">B1137</f>
        <v>M2007G1918N</v>
      </c>
      <c r="C2214" s="490" t="str">
        <f t="shared" si="424"/>
        <v>TECNOLOGIA DA INFORMAÇÃO DAS UNIDADES ACADÊMICAS</v>
      </c>
      <c r="D2214" s="483">
        <f t="shared" si="424"/>
        <v>8100</v>
      </c>
      <c r="E2214" s="484">
        <f t="shared" si="424"/>
        <v>108288</v>
      </c>
      <c r="F2214" s="526" t="str">
        <f t="shared" si="424"/>
        <v>ICSA</v>
      </c>
      <c r="G2214" s="488" t="str">
        <f t="shared" si="424"/>
        <v>Aquisição e Manutenção de TI</v>
      </c>
      <c r="H2214" s="489">
        <f t="shared" si="424"/>
        <v>1</v>
      </c>
      <c r="I2214" s="473">
        <f t="shared" si="424"/>
        <v>7900</v>
      </c>
      <c r="J2214" s="473">
        <f t="shared" si="424"/>
        <v>27248</v>
      </c>
      <c r="K2214" s="473">
        <f t="shared" si="424"/>
        <v>35148</v>
      </c>
      <c r="L2214" s="167">
        <f t="shared" si="424"/>
        <v>7900</v>
      </c>
      <c r="M2214" s="167">
        <f t="shared" si="424"/>
        <v>27248</v>
      </c>
      <c r="N2214" s="167">
        <f t="shared" si="424"/>
        <v>35148</v>
      </c>
      <c r="O2214" s="405"/>
      <c r="P2214" s="405"/>
    </row>
    <row r="2215" spans="1:20" ht="54.75" hidden="1" customHeight="1">
      <c r="A2215" s="273"/>
      <c r="B2215" s="481" t="str">
        <f t="shared" si="424"/>
        <v>M2016G0118N</v>
      </c>
      <c r="C2215" s="490" t="str">
        <f t="shared" si="424"/>
        <v>AQUISIÇÃO DE EQUIPAMENTOS DE TIC PARA AS UNIDADES ACADÊMICAS</v>
      </c>
      <c r="D2215" s="483">
        <f t="shared" si="424"/>
        <v>112</v>
      </c>
      <c r="E2215" s="484">
        <f t="shared" si="424"/>
        <v>108288</v>
      </c>
      <c r="F2215" s="526" t="str">
        <f t="shared" si="424"/>
        <v>ICSA</v>
      </c>
      <c r="G2215" s="488" t="str">
        <f t="shared" si="424"/>
        <v>Aquisição de Equipamento</v>
      </c>
      <c r="H2215" s="489">
        <f t="shared" si="424"/>
        <v>0</v>
      </c>
      <c r="I2215" s="473">
        <f t="shared" si="424"/>
        <v>0</v>
      </c>
      <c r="J2215" s="473">
        <f t="shared" si="424"/>
        <v>0</v>
      </c>
      <c r="K2215" s="473">
        <f t="shared" si="424"/>
        <v>0</v>
      </c>
      <c r="L2215" s="167"/>
      <c r="M2215" s="167"/>
      <c r="N2215" s="167"/>
      <c r="O2215" s="405"/>
      <c r="P2215" s="405"/>
    </row>
    <row r="2216" spans="1:20" ht="54.75" hidden="1" customHeight="1">
      <c r="A2216" s="273"/>
      <c r="B2216" s="481" t="str">
        <f t="shared" ref="B2216:N2217" si="425">B1164</f>
        <v>M2007G1918N</v>
      </c>
      <c r="C2216" s="490" t="str">
        <f t="shared" si="425"/>
        <v>TECNOLOGIA DA INFORMAÇÃO DAS UNIDADES ACADÊMICAS</v>
      </c>
      <c r="D2216" s="483">
        <f t="shared" si="425"/>
        <v>8100</v>
      </c>
      <c r="E2216" s="484">
        <f t="shared" si="425"/>
        <v>108288</v>
      </c>
      <c r="F2216" s="526" t="str">
        <f t="shared" si="425"/>
        <v>ITEC</v>
      </c>
      <c r="G2216" s="488" t="str">
        <f t="shared" si="425"/>
        <v>Aquisição e Manutenção de TI</v>
      </c>
      <c r="H2216" s="489">
        <f t="shared" si="425"/>
        <v>1</v>
      </c>
      <c r="I2216" s="473">
        <f t="shared" si="425"/>
        <v>42317</v>
      </c>
      <c r="J2216" s="473">
        <f t="shared" si="425"/>
        <v>21158</v>
      </c>
      <c r="K2216" s="473">
        <f t="shared" si="425"/>
        <v>63475</v>
      </c>
      <c r="L2216" s="167">
        <f t="shared" si="425"/>
        <v>42317</v>
      </c>
      <c r="M2216" s="167">
        <f t="shared" si="425"/>
        <v>21158</v>
      </c>
      <c r="N2216" s="167">
        <f t="shared" si="425"/>
        <v>63475</v>
      </c>
      <c r="O2216" s="405"/>
      <c r="P2216" s="405"/>
    </row>
    <row r="2217" spans="1:20" ht="54.75" hidden="1" customHeight="1">
      <c r="A2217" s="273"/>
      <c r="B2217" s="481" t="str">
        <f t="shared" si="425"/>
        <v>M2016G0118N</v>
      </c>
      <c r="C2217" s="490" t="str">
        <f t="shared" si="425"/>
        <v>AQUISIÇÃO DE EQUIPAMENTOS DE TIC PARA AS UNIDADES ACADÊMICAS</v>
      </c>
      <c r="D2217" s="483">
        <f t="shared" si="425"/>
        <v>112</v>
      </c>
      <c r="E2217" s="484">
        <f t="shared" si="425"/>
        <v>108288</v>
      </c>
      <c r="F2217" s="526" t="str">
        <f t="shared" si="425"/>
        <v>ITEC</v>
      </c>
      <c r="G2217" s="488" t="str">
        <f t="shared" si="425"/>
        <v>Aquisição de Equipamento</v>
      </c>
      <c r="H2217" s="489">
        <f t="shared" si="425"/>
        <v>0</v>
      </c>
      <c r="I2217" s="473">
        <f t="shared" si="425"/>
        <v>0</v>
      </c>
      <c r="J2217" s="473">
        <f t="shared" si="425"/>
        <v>0</v>
      </c>
      <c r="K2217" s="473">
        <f t="shared" si="425"/>
        <v>0</v>
      </c>
      <c r="L2217" s="167"/>
      <c r="M2217" s="167"/>
      <c r="N2217" s="167"/>
      <c r="O2217" s="405"/>
      <c r="P2217" s="405"/>
    </row>
    <row r="2218" spans="1:20" ht="54.75" hidden="1" customHeight="1">
      <c r="A2218" s="273"/>
      <c r="B2218" s="481" t="str">
        <f t="shared" ref="B2218:N2218" si="426">B1196</f>
        <v>M2007G1918N</v>
      </c>
      <c r="C2218" s="490" t="str">
        <f t="shared" si="426"/>
        <v>TECNOLOGIA DA INFORMAÇÃO DAS UNIDADES ACADÊMICAS</v>
      </c>
      <c r="D2218" s="483">
        <f t="shared" si="426"/>
        <v>8100</v>
      </c>
      <c r="E2218" s="484">
        <f t="shared" si="426"/>
        <v>108288</v>
      </c>
      <c r="F2218" s="526" t="str">
        <f t="shared" si="426"/>
        <v>ICA</v>
      </c>
      <c r="G2218" s="488" t="str">
        <f t="shared" si="426"/>
        <v>Aquisição e Manutenção de TI</v>
      </c>
      <c r="H2218" s="489">
        <f t="shared" si="426"/>
        <v>1</v>
      </c>
      <c r="I2218" s="473">
        <f t="shared" si="426"/>
        <v>12000</v>
      </c>
      <c r="J2218" s="473">
        <f t="shared" si="426"/>
        <v>8023</v>
      </c>
      <c r="K2218" s="473">
        <f t="shared" si="426"/>
        <v>20023</v>
      </c>
      <c r="L2218" s="167">
        <f t="shared" si="426"/>
        <v>12000</v>
      </c>
      <c r="M2218" s="167">
        <f t="shared" si="426"/>
        <v>8023</v>
      </c>
      <c r="N2218" s="167">
        <f t="shared" si="426"/>
        <v>20023</v>
      </c>
      <c r="O2218" s="405"/>
      <c r="P2218" s="405"/>
    </row>
    <row r="2219" spans="1:20" ht="54.75" hidden="1" customHeight="1">
      <c r="A2219" s="527"/>
      <c r="B2219" s="528"/>
      <c r="C2219" s="529"/>
      <c r="D2219" s="530"/>
      <c r="E2219" s="531"/>
      <c r="F2219" s="532"/>
      <c r="G2219" s="533"/>
      <c r="H2219" s="534"/>
      <c r="I2219" s="535"/>
      <c r="J2219" s="535"/>
      <c r="K2219" s="535"/>
      <c r="L2219" s="536"/>
      <c r="M2219" s="536"/>
      <c r="N2219" s="536"/>
      <c r="O2219" s="405"/>
      <c r="P2219" s="405"/>
    </row>
    <row r="2220" spans="1:20" ht="54.75" hidden="1" customHeight="1">
      <c r="A2220" s="527"/>
      <c r="B2220" s="528"/>
      <c r="C2220" s="529"/>
      <c r="D2220" s="530"/>
      <c r="E2220" s="531"/>
      <c r="F2220" s="532"/>
      <c r="G2220" s="533"/>
      <c r="H2220" s="534"/>
      <c r="I2220" s="535"/>
      <c r="J2220" s="535"/>
      <c r="K2220" s="535"/>
      <c r="L2220" s="536"/>
      <c r="M2220" s="536"/>
      <c r="N2220" s="536"/>
      <c r="O2220" s="405"/>
      <c r="P2220" s="405"/>
    </row>
    <row r="2221" spans="1:20" ht="30" hidden="1" customHeight="1">
      <c r="A2221" s="27"/>
      <c r="B2221" s="27"/>
      <c r="C2221" s="1204" t="s">
        <v>51</v>
      </c>
      <c r="D2221" s="1204"/>
      <c r="E2221" s="1204"/>
      <c r="F2221" s="1204"/>
      <c r="O2221" s="27"/>
      <c r="P2221" s="27"/>
      <c r="Q2221" s="620"/>
      <c r="R2221" s="27"/>
      <c r="S2221" s="27"/>
      <c r="T2221" s="27"/>
    </row>
    <row r="2222" spans="1:20" ht="35.1" hidden="1" customHeight="1">
      <c r="A2222" s="27"/>
      <c r="B2222" s="27"/>
      <c r="C2222" s="1204" t="s">
        <v>52</v>
      </c>
      <c r="D2222" s="1204"/>
      <c r="E2222" s="1204"/>
      <c r="F2222" s="1204"/>
      <c r="O2222" s="27"/>
      <c r="P2222" s="27"/>
      <c r="Q2222" s="620"/>
      <c r="R2222" s="27"/>
      <c r="S2222" s="27"/>
      <c r="T2222" s="27"/>
    </row>
    <row r="2223" spans="1:20" ht="34.5" hidden="1" customHeight="1">
      <c r="A2223" s="27"/>
      <c r="B2223" s="27"/>
      <c r="C2223" s="1204" t="s">
        <v>50</v>
      </c>
      <c r="D2223" s="1204"/>
      <c r="E2223" s="1204"/>
      <c r="F2223" s="1204"/>
      <c r="O2223" s="27"/>
      <c r="P2223" s="27"/>
      <c r="Q2223" s="620"/>
      <c r="R2223" s="27"/>
      <c r="S2223" s="27"/>
      <c r="T2223" s="27"/>
    </row>
    <row r="2224" spans="1:20" ht="7.5" hidden="1" customHeight="1">
      <c r="A2224" s="27"/>
      <c r="B2224" s="27"/>
      <c r="F2224" s="27"/>
      <c r="O2224" s="27"/>
      <c r="P2224" s="27"/>
      <c r="Q2224" s="620"/>
      <c r="R2224" s="27"/>
      <c r="S2224" s="27"/>
      <c r="T2224" s="27"/>
    </row>
    <row r="2225" spans="1:20" ht="7.5" hidden="1" customHeight="1">
      <c r="A2225" s="27"/>
      <c r="B2225" s="27"/>
      <c r="F2225" s="27"/>
      <c r="O2225" s="27"/>
      <c r="P2225" s="27"/>
      <c r="Q2225" s="620"/>
      <c r="R2225" s="27"/>
      <c r="S2225" s="27"/>
      <c r="T2225" s="27"/>
    </row>
    <row r="2226" spans="1:20" ht="30" hidden="1" customHeight="1">
      <c r="A2226" s="349" t="s">
        <v>1063</v>
      </c>
      <c r="B2226" s="1226" t="s">
        <v>1061</v>
      </c>
      <c r="C2226" s="1226"/>
      <c r="D2226" s="1226"/>
      <c r="E2226" s="1226"/>
      <c r="F2226" s="1226"/>
      <c r="G2226" s="1226"/>
      <c r="H2226" s="1226"/>
      <c r="I2226" s="1226"/>
      <c r="J2226" s="1226"/>
      <c r="K2226" s="1226"/>
      <c r="L2226" s="349"/>
      <c r="M2226" s="349"/>
      <c r="N2226" s="349"/>
      <c r="O2226" s="27"/>
      <c r="P2226" s="27"/>
      <c r="Q2226" s="620"/>
      <c r="R2226" s="27"/>
      <c r="S2226" s="27"/>
      <c r="T2226" s="27"/>
    </row>
    <row r="2227" spans="1:20" ht="24.95" hidden="1" customHeight="1">
      <c r="O2227" s="27"/>
      <c r="P2227" s="27"/>
      <c r="Q2227" s="620"/>
      <c r="R2227" s="27"/>
      <c r="S2227" s="27"/>
      <c r="T2227" s="27"/>
    </row>
    <row r="2228" spans="1:20" ht="37.5" hidden="1" customHeight="1">
      <c r="A2228" s="355"/>
      <c r="B2228" s="605" t="s">
        <v>362</v>
      </c>
      <c r="C2228" s="355"/>
      <c r="D2228" s="355"/>
      <c r="E2228" s="355"/>
      <c r="F2228" s="355"/>
      <c r="G2228" s="355"/>
      <c r="H2228" s="355"/>
      <c r="I2228" s="355"/>
      <c r="J2228" s="355"/>
      <c r="K2228" s="355"/>
      <c r="L2228" s="355"/>
      <c r="M2228" s="355"/>
      <c r="N2228" s="355"/>
      <c r="O2228" s="27"/>
      <c r="P2228" s="27"/>
      <c r="Q2228" s="620"/>
      <c r="R2228" s="27"/>
      <c r="S2228" s="27"/>
      <c r="T2228" s="27"/>
    </row>
    <row r="2229" spans="1:20" s="500" customFormat="1" ht="90" hidden="1">
      <c r="A2229" s="496" t="s">
        <v>646</v>
      </c>
      <c r="B2229" s="497" t="s">
        <v>1062</v>
      </c>
      <c r="C2229" s="497" t="s">
        <v>37</v>
      </c>
      <c r="D2229" s="497" t="s">
        <v>440</v>
      </c>
      <c r="E2229" s="497" t="s">
        <v>16</v>
      </c>
      <c r="F2229" s="497" t="s">
        <v>185</v>
      </c>
      <c r="G2229" s="497" t="s">
        <v>178</v>
      </c>
      <c r="H2229" s="497" t="s">
        <v>179</v>
      </c>
      <c r="I2229" s="497" t="s">
        <v>180</v>
      </c>
      <c r="J2229" s="497" t="s">
        <v>181</v>
      </c>
      <c r="K2229" s="497" t="s">
        <v>200</v>
      </c>
      <c r="L2229" s="496" t="s">
        <v>180</v>
      </c>
      <c r="M2229" s="496" t="s">
        <v>181</v>
      </c>
      <c r="N2229" s="496" t="s">
        <v>200</v>
      </c>
      <c r="O2229" s="498"/>
      <c r="P2229" s="498"/>
      <c r="Q2229" s="622"/>
      <c r="R2229" s="498"/>
      <c r="S2229" s="498"/>
      <c r="T2229" s="499"/>
    </row>
    <row r="2230" spans="1:20" ht="54.75" hidden="1" customHeight="1">
      <c r="A2230" s="273"/>
      <c r="B2230" s="481" t="str">
        <f t="shared" ref="B2230:K2230" si="427">B1197</f>
        <v>M2016G0118N</v>
      </c>
      <c r="C2230" s="490" t="str">
        <f t="shared" si="427"/>
        <v>AQUISIÇÃO DE EQUIPAMENTOS DE TIC PARA AS UNIDADES ACADÊMICAS</v>
      </c>
      <c r="D2230" s="483">
        <f t="shared" si="427"/>
        <v>112</v>
      </c>
      <c r="E2230" s="484">
        <f t="shared" si="427"/>
        <v>108288</v>
      </c>
      <c r="F2230" s="526" t="str">
        <f t="shared" si="427"/>
        <v>ICA</v>
      </c>
      <c r="G2230" s="488" t="str">
        <f t="shared" si="427"/>
        <v>Aquisição de Equipamento</v>
      </c>
      <c r="H2230" s="489">
        <f t="shared" si="427"/>
        <v>0</v>
      </c>
      <c r="I2230" s="473">
        <f t="shared" si="427"/>
        <v>0</v>
      </c>
      <c r="J2230" s="473">
        <f t="shared" si="427"/>
        <v>0</v>
      </c>
      <c r="K2230" s="473">
        <f t="shared" si="427"/>
        <v>0</v>
      </c>
      <c r="L2230" s="167"/>
      <c r="M2230" s="167"/>
      <c r="N2230" s="167"/>
      <c r="O2230" s="405"/>
      <c r="P2230" s="405"/>
    </row>
    <row r="2231" spans="1:20" ht="54.75" hidden="1" customHeight="1">
      <c r="A2231" s="273"/>
      <c r="B2231" s="481" t="str">
        <f t="shared" ref="B2231:N2232" si="428">B1238</f>
        <v>M2007G1918N</v>
      </c>
      <c r="C2231" s="490" t="str">
        <f t="shared" si="428"/>
        <v>TECNOLOGIA DA INFORMAÇÃO DAS UNIDADES ACADÊMICAS</v>
      </c>
      <c r="D2231" s="483">
        <f t="shared" si="428"/>
        <v>8100</v>
      </c>
      <c r="E2231" s="484">
        <f t="shared" si="428"/>
        <v>108288</v>
      </c>
      <c r="F2231" s="526" t="str">
        <f t="shared" si="428"/>
        <v>IECOS</v>
      </c>
      <c r="G2231" s="488" t="str">
        <f t="shared" si="428"/>
        <v>Aquisição e Manutenção de TI</v>
      </c>
      <c r="H2231" s="489">
        <f t="shared" si="428"/>
        <v>1</v>
      </c>
      <c r="I2231" s="473">
        <f t="shared" si="428"/>
        <v>10000</v>
      </c>
      <c r="J2231" s="473">
        <f t="shared" si="428"/>
        <v>6250</v>
      </c>
      <c r="K2231" s="473">
        <f t="shared" si="428"/>
        <v>16250</v>
      </c>
      <c r="L2231" s="167">
        <f t="shared" si="428"/>
        <v>10000</v>
      </c>
      <c r="M2231" s="167">
        <f t="shared" si="428"/>
        <v>6250</v>
      </c>
      <c r="N2231" s="167">
        <f t="shared" si="428"/>
        <v>16250</v>
      </c>
      <c r="O2231" s="405"/>
      <c r="P2231" s="405"/>
    </row>
    <row r="2232" spans="1:20" ht="54.75" hidden="1" customHeight="1">
      <c r="A2232" s="273"/>
      <c r="B2232" s="481" t="str">
        <f t="shared" si="428"/>
        <v>M2016G0118N</v>
      </c>
      <c r="C2232" s="490" t="str">
        <f t="shared" si="428"/>
        <v>AQUISIÇÃO DE EQUIPAMENTOS DE TIC PARA AS UNIDADES ACADÊMICAS</v>
      </c>
      <c r="D2232" s="483">
        <f t="shared" si="428"/>
        <v>112</v>
      </c>
      <c r="E2232" s="484">
        <f t="shared" si="428"/>
        <v>108288</v>
      </c>
      <c r="F2232" s="526" t="str">
        <f t="shared" si="428"/>
        <v>IECOS</v>
      </c>
      <c r="G2232" s="488" t="str">
        <f t="shared" si="428"/>
        <v>Aquisição de Equipamento</v>
      </c>
      <c r="H2232" s="489">
        <f t="shared" si="428"/>
        <v>0</v>
      </c>
      <c r="I2232" s="473">
        <f t="shared" si="428"/>
        <v>0</v>
      </c>
      <c r="J2232" s="473">
        <f t="shared" si="428"/>
        <v>0</v>
      </c>
      <c r="K2232" s="473">
        <f t="shared" si="428"/>
        <v>0</v>
      </c>
      <c r="L2232" s="167"/>
      <c r="M2232" s="167"/>
      <c r="N2232" s="167"/>
      <c r="O2232" s="405"/>
      <c r="P2232" s="405"/>
    </row>
    <row r="2233" spans="1:20" ht="54.75" hidden="1" customHeight="1">
      <c r="A2233" s="273"/>
      <c r="B2233" s="481" t="str">
        <f t="shared" ref="B2233:N2234" si="429">B1267</f>
        <v>M2007G1918N</v>
      </c>
      <c r="C2233" s="490" t="str">
        <f t="shared" si="429"/>
        <v>MANUTENÇÃO E MODERNIZAÇÃO DO PARQUE TECNOLÓGICO DO IEMCI</v>
      </c>
      <c r="D2233" s="483">
        <f t="shared" si="429"/>
        <v>8100</v>
      </c>
      <c r="E2233" s="484">
        <f t="shared" si="429"/>
        <v>108288</v>
      </c>
      <c r="F2233" s="526" t="str">
        <f t="shared" si="429"/>
        <v>IEMCI</v>
      </c>
      <c r="G2233" s="488" t="str">
        <f t="shared" si="429"/>
        <v>Manutenção de TI/Aquisição de Material de Consumo</v>
      </c>
      <c r="H2233" s="489">
        <f t="shared" si="429"/>
        <v>1</v>
      </c>
      <c r="I2233" s="473">
        <f t="shared" si="429"/>
        <v>7500</v>
      </c>
      <c r="J2233" s="473">
        <f t="shared" si="429"/>
        <v>6091</v>
      </c>
      <c r="K2233" s="473">
        <f t="shared" si="429"/>
        <v>13591</v>
      </c>
      <c r="L2233" s="167">
        <f t="shared" si="429"/>
        <v>7500</v>
      </c>
      <c r="M2233" s="167">
        <f t="shared" si="429"/>
        <v>6091</v>
      </c>
      <c r="N2233" s="167">
        <f t="shared" si="429"/>
        <v>13591</v>
      </c>
      <c r="O2233" s="405"/>
      <c r="P2233" s="405"/>
    </row>
    <row r="2234" spans="1:20" ht="54.75" hidden="1" customHeight="1">
      <c r="A2234" s="273"/>
      <c r="B2234" s="481" t="str">
        <f t="shared" si="429"/>
        <v>M2016G0118N</v>
      </c>
      <c r="C2234" s="490" t="str">
        <f t="shared" si="429"/>
        <v>AQUISIÇÃO DE EQUIPAMENTOS DE TIC PARA AS UNIDADES ACADÊMICAS</v>
      </c>
      <c r="D2234" s="483">
        <f t="shared" si="429"/>
        <v>112</v>
      </c>
      <c r="E2234" s="484">
        <f t="shared" si="429"/>
        <v>108288</v>
      </c>
      <c r="F2234" s="526" t="str">
        <f t="shared" si="429"/>
        <v>IEMCI</v>
      </c>
      <c r="G2234" s="488" t="str">
        <f t="shared" si="429"/>
        <v>Aquisição de Equipamento</v>
      </c>
      <c r="H2234" s="489">
        <f t="shared" si="429"/>
        <v>0</v>
      </c>
      <c r="I2234" s="473">
        <f t="shared" si="429"/>
        <v>0</v>
      </c>
      <c r="J2234" s="473">
        <f t="shared" si="429"/>
        <v>0</v>
      </c>
      <c r="K2234" s="473">
        <f t="shared" si="429"/>
        <v>0</v>
      </c>
      <c r="L2234" s="167"/>
      <c r="M2234" s="167"/>
      <c r="N2234" s="167"/>
      <c r="O2234" s="405"/>
      <c r="P2234" s="405"/>
    </row>
    <row r="2235" spans="1:20" ht="54.75" hidden="1" customHeight="1">
      <c r="A2235" s="273"/>
      <c r="B2235" s="481" t="str">
        <f t="shared" ref="B2235:K2236" si="430">B1303</f>
        <v>M2007G1918N</v>
      </c>
      <c r="C2235" s="490" t="str">
        <f t="shared" si="430"/>
        <v>TECNOLOGIA DA INFORMAÇÃO DAS UNIDADES ACADÊMICAS</v>
      </c>
      <c r="D2235" s="483">
        <f t="shared" si="430"/>
        <v>8100</v>
      </c>
      <c r="E2235" s="484">
        <f t="shared" si="430"/>
        <v>108288</v>
      </c>
      <c r="F2235" s="526" t="str">
        <f t="shared" si="430"/>
        <v>INEAF</v>
      </c>
      <c r="G2235" s="488" t="str">
        <f t="shared" si="430"/>
        <v>Aquisição e Manutenção de TI</v>
      </c>
      <c r="H2235" s="489">
        <f t="shared" si="430"/>
        <v>1</v>
      </c>
      <c r="I2235" s="473">
        <f t="shared" si="430"/>
        <v>17200</v>
      </c>
      <c r="J2235" s="473">
        <f t="shared" si="430"/>
        <v>4475</v>
      </c>
      <c r="K2235" s="473">
        <f t="shared" si="430"/>
        <v>21675</v>
      </c>
      <c r="L2235" s="167"/>
      <c r="M2235" s="167"/>
      <c r="N2235" s="167"/>
      <c r="O2235" s="405"/>
      <c r="P2235" s="405"/>
    </row>
    <row r="2236" spans="1:20" ht="54.75" hidden="1" customHeight="1">
      <c r="A2236" s="273"/>
      <c r="B2236" s="481" t="str">
        <f t="shared" si="430"/>
        <v>M2016G0118N</v>
      </c>
      <c r="C2236" s="490" t="str">
        <f t="shared" si="430"/>
        <v>AQUISIÇÃO DE EQUIPAMENTOS DE TIC PARA AS UNIDADES ACADÊMICAS</v>
      </c>
      <c r="D2236" s="483">
        <f t="shared" si="430"/>
        <v>112</v>
      </c>
      <c r="E2236" s="484">
        <f t="shared" si="430"/>
        <v>108288</v>
      </c>
      <c r="F2236" s="526" t="str">
        <f t="shared" si="430"/>
        <v>INEAF</v>
      </c>
      <c r="G2236" s="488" t="str">
        <f t="shared" si="430"/>
        <v>Aquisição de Equipamento</v>
      </c>
      <c r="H2236" s="489">
        <f t="shared" si="430"/>
        <v>0</v>
      </c>
      <c r="I2236" s="473">
        <f t="shared" si="430"/>
        <v>0</v>
      </c>
      <c r="J2236" s="473">
        <f t="shared" si="430"/>
        <v>0</v>
      </c>
      <c r="K2236" s="473">
        <f t="shared" si="430"/>
        <v>0</v>
      </c>
      <c r="L2236" s="167"/>
      <c r="M2236" s="167"/>
      <c r="N2236" s="167"/>
      <c r="O2236" s="405"/>
      <c r="P2236" s="405"/>
    </row>
    <row r="2237" spans="1:20" ht="54.75" hidden="1" customHeight="1">
      <c r="A2237" s="273"/>
      <c r="B2237" s="481" t="str">
        <f t="shared" ref="B2237:N2238" si="431">B1315</f>
        <v>O2007O1918N</v>
      </c>
      <c r="C2237" s="490" t="str">
        <f t="shared" si="431"/>
        <v>TECNOLOGIA DA INFORMAÇÃO DAS UNIDADES ACADÊMICAS</v>
      </c>
      <c r="D2237" s="483">
        <f t="shared" si="431"/>
        <v>8100</v>
      </c>
      <c r="E2237" s="484">
        <f t="shared" si="431"/>
        <v>108288</v>
      </c>
      <c r="F2237" s="526" t="str">
        <f t="shared" si="431"/>
        <v>NAEA</v>
      </c>
      <c r="G2237" s="488" t="str">
        <f t="shared" si="431"/>
        <v>Aquisição e Manutenção de TI</v>
      </c>
      <c r="H2237" s="489">
        <f t="shared" si="431"/>
        <v>1</v>
      </c>
      <c r="I2237" s="473">
        <f t="shared" si="431"/>
        <v>15144</v>
      </c>
      <c r="J2237" s="473">
        <f t="shared" si="431"/>
        <v>3500</v>
      </c>
      <c r="K2237" s="473">
        <f t="shared" si="431"/>
        <v>18644</v>
      </c>
      <c r="L2237" s="167">
        <f t="shared" si="431"/>
        <v>15144</v>
      </c>
      <c r="M2237" s="167">
        <f t="shared" si="431"/>
        <v>3500</v>
      </c>
      <c r="N2237" s="167">
        <f t="shared" si="431"/>
        <v>18644</v>
      </c>
      <c r="O2237" s="405"/>
      <c r="P2237" s="405"/>
    </row>
    <row r="2238" spans="1:20" ht="54.75" hidden="1" customHeight="1">
      <c r="A2238" s="273"/>
      <c r="B2238" s="481" t="str">
        <f t="shared" si="431"/>
        <v>O2016O1918N</v>
      </c>
      <c r="C2238" s="490" t="str">
        <f t="shared" si="431"/>
        <v>AQUISIÇÃO DE EQUIPAMENTOS DE TIC PARA AS UNIDADES ACADÊMICAS</v>
      </c>
      <c r="D2238" s="483">
        <f t="shared" si="431"/>
        <v>112</v>
      </c>
      <c r="E2238" s="484">
        <f t="shared" si="431"/>
        <v>108288</v>
      </c>
      <c r="F2238" s="526" t="str">
        <f t="shared" si="431"/>
        <v>NAEA</v>
      </c>
      <c r="G2238" s="488" t="str">
        <f t="shared" si="431"/>
        <v>Aquisição de Equipamento</v>
      </c>
      <c r="H2238" s="489">
        <f t="shared" si="431"/>
        <v>0</v>
      </c>
      <c r="I2238" s="473">
        <f t="shared" si="431"/>
        <v>0</v>
      </c>
      <c r="J2238" s="473">
        <f t="shared" si="431"/>
        <v>0</v>
      </c>
      <c r="K2238" s="473">
        <f t="shared" si="431"/>
        <v>0</v>
      </c>
      <c r="L2238" s="167">
        <f>L1303</f>
        <v>17200</v>
      </c>
      <c r="M2238" s="167">
        <f>M1303</f>
        <v>4475</v>
      </c>
      <c r="N2238" s="167">
        <f>N1303</f>
        <v>21675</v>
      </c>
      <c r="O2238" s="405"/>
      <c r="P2238" s="405"/>
    </row>
    <row r="2239" spans="1:20" ht="54.75" hidden="1" customHeight="1">
      <c r="A2239" s="273"/>
      <c r="B2239" s="481" t="str">
        <f t="shared" ref="B2239:K2239" si="432">B1340</f>
        <v>O2007O1918N</v>
      </c>
      <c r="C2239" s="490" t="str">
        <f t="shared" si="432"/>
        <v>TECNOLOGIA DA INFORMAÇÃO DAS UNIDADES ACADÊMICAS</v>
      </c>
      <c r="D2239" s="483">
        <f t="shared" si="432"/>
        <v>8100</v>
      </c>
      <c r="E2239" s="484">
        <f t="shared" si="432"/>
        <v>108288</v>
      </c>
      <c r="F2239" s="526" t="str">
        <f t="shared" si="432"/>
        <v>NDAE</v>
      </c>
      <c r="G2239" s="488" t="str">
        <f t="shared" si="432"/>
        <v>Aquisição e Manutenção de TI</v>
      </c>
      <c r="H2239" s="489">
        <f t="shared" si="432"/>
        <v>1</v>
      </c>
      <c r="I2239" s="473">
        <f t="shared" si="432"/>
        <v>20000</v>
      </c>
      <c r="J2239" s="473">
        <f t="shared" si="432"/>
        <v>0</v>
      </c>
      <c r="K2239" s="473">
        <f t="shared" si="432"/>
        <v>20000</v>
      </c>
      <c r="L2239" s="167"/>
      <c r="M2239" s="167"/>
      <c r="N2239" s="167"/>
      <c r="O2239" s="405"/>
      <c r="P2239" s="405"/>
    </row>
    <row r="2240" spans="1:20" ht="54.75" hidden="1" customHeight="1">
      <c r="A2240" s="273"/>
      <c r="B2240" s="481" t="str">
        <f t="shared" ref="B2240:K2240" si="433">B1350</f>
        <v>O2007O1918N</v>
      </c>
      <c r="C2240" s="490" t="str">
        <f t="shared" si="433"/>
        <v>TECNOLOGIA DA INFORMAÇÃO DAS UNIDADES ACADÊMICAS</v>
      </c>
      <c r="D2240" s="483">
        <f t="shared" si="433"/>
        <v>8100</v>
      </c>
      <c r="E2240" s="484">
        <f t="shared" si="433"/>
        <v>108288</v>
      </c>
      <c r="F2240" s="526" t="str">
        <f t="shared" si="433"/>
        <v>NMT</v>
      </c>
      <c r="G2240" s="488" t="str">
        <f t="shared" si="433"/>
        <v>Aquisição e Manutenção de TI</v>
      </c>
      <c r="H2240" s="489">
        <f t="shared" si="433"/>
        <v>1</v>
      </c>
      <c r="I2240" s="473">
        <f t="shared" si="433"/>
        <v>0</v>
      </c>
      <c r="J2240" s="473">
        <f t="shared" si="433"/>
        <v>9841</v>
      </c>
      <c r="K2240" s="473">
        <f t="shared" si="433"/>
        <v>9841</v>
      </c>
      <c r="L2240" s="167"/>
      <c r="M2240" s="167"/>
      <c r="N2240" s="167"/>
      <c r="O2240" s="405"/>
      <c r="P2240" s="405"/>
    </row>
    <row r="2241" spans="1:16" ht="54.75" hidden="1" customHeight="1">
      <c r="A2241" s="273"/>
      <c r="B2241" s="481" t="str">
        <f t="shared" ref="B2241:G2241" si="434">B1360</f>
        <v>O2007O1918N</v>
      </c>
      <c r="C2241" s="490" t="str">
        <f t="shared" si="434"/>
        <v>TECNOLOGIA DA INFORMAÇÃO DAS UNIDADES ACADÊMICAS</v>
      </c>
      <c r="D2241" s="483">
        <f t="shared" si="434"/>
        <v>8100</v>
      </c>
      <c r="E2241" s="484">
        <f t="shared" si="434"/>
        <v>108288</v>
      </c>
      <c r="F2241" s="526" t="str">
        <f t="shared" si="434"/>
        <v>NPO</v>
      </c>
      <c r="G2241" s="488" t="str">
        <f t="shared" si="434"/>
        <v>Aquisição e Manutenção de TI</v>
      </c>
      <c r="H2241" s="489">
        <f>H1382</f>
        <v>1</v>
      </c>
      <c r="I2241" s="473">
        <f t="shared" ref="I2241:N2241" si="435">I1360</f>
        <v>4979</v>
      </c>
      <c r="J2241" s="473">
        <f t="shared" si="435"/>
        <v>0</v>
      </c>
      <c r="K2241" s="473">
        <f t="shared" si="435"/>
        <v>4979</v>
      </c>
      <c r="L2241" s="167">
        <f t="shared" si="435"/>
        <v>4979</v>
      </c>
      <c r="M2241" s="167">
        <f t="shared" si="435"/>
        <v>0</v>
      </c>
      <c r="N2241" s="167">
        <f t="shared" si="435"/>
        <v>4979</v>
      </c>
      <c r="O2241" s="405"/>
      <c r="P2241" s="405"/>
    </row>
    <row r="2242" spans="1:16" ht="54.75" hidden="1" customHeight="1">
      <c r="A2242" s="273"/>
      <c r="B2242" s="481" t="str">
        <f t="shared" ref="B2242:N2242" si="436">B1382</f>
        <v>O2007O1918N</v>
      </c>
      <c r="C2242" s="490" t="str">
        <f t="shared" si="436"/>
        <v>TECNOLOGIA DA INFORMAÇÃO DAS UNIDADES ACADÊMICAS</v>
      </c>
      <c r="D2242" s="483">
        <f t="shared" si="436"/>
        <v>8100</v>
      </c>
      <c r="E2242" s="484">
        <f t="shared" si="436"/>
        <v>108288</v>
      </c>
      <c r="F2242" s="526" t="str">
        <f t="shared" si="436"/>
        <v>NUMA</v>
      </c>
      <c r="G2242" s="488" t="str">
        <f t="shared" si="436"/>
        <v>Aquisição e Manutenção de TI</v>
      </c>
      <c r="H2242" s="489">
        <f t="shared" si="436"/>
        <v>1</v>
      </c>
      <c r="I2242" s="473">
        <f t="shared" si="436"/>
        <v>10224</v>
      </c>
      <c r="J2242" s="473">
        <f t="shared" si="436"/>
        <v>0</v>
      </c>
      <c r="K2242" s="473">
        <f t="shared" si="436"/>
        <v>10224</v>
      </c>
      <c r="L2242" s="167">
        <f t="shared" si="436"/>
        <v>10224</v>
      </c>
      <c r="M2242" s="167">
        <f t="shared" si="436"/>
        <v>0</v>
      </c>
      <c r="N2242" s="167">
        <f t="shared" si="436"/>
        <v>10224</v>
      </c>
      <c r="O2242" s="405"/>
      <c r="P2242" s="405"/>
    </row>
    <row r="2243" spans="1:16" ht="54.75" hidden="1" customHeight="1">
      <c r="A2243" s="273"/>
      <c r="B2243" s="481" t="str">
        <f t="shared" ref="B2243:K2243" si="437">B1394</f>
        <v>O2007O1918N</v>
      </c>
      <c r="C2243" s="490" t="str">
        <f t="shared" si="437"/>
        <v>TECNOLOGIA DA INFORMAÇÃO DAS UNIDADES ACADÊMICAS</v>
      </c>
      <c r="D2243" s="483">
        <f t="shared" si="437"/>
        <v>8100</v>
      </c>
      <c r="E2243" s="484">
        <f t="shared" si="437"/>
        <v>108288</v>
      </c>
      <c r="F2243" s="526" t="str">
        <f t="shared" si="437"/>
        <v>NTPC</v>
      </c>
      <c r="G2243" s="488" t="str">
        <f t="shared" si="437"/>
        <v>Aquisição e Manutenção de TI</v>
      </c>
      <c r="H2243" s="489">
        <f t="shared" si="437"/>
        <v>1</v>
      </c>
      <c r="I2243" s="473">
        <f t="shared" si="437"/>
        <v>0</v>
      </c>
      <c r="J2243" s="473">
        <f t="shared" si="437"/>
        <v>2490</v>
      </c>
      <c r="K2243" s="473">
        <f t="shared" si="437"/>
        <v>2490</v>
      </c>
      <c r="L2243" s="167"/>
      <c r="M2243" s="167"/>
      <c r="N2243" s="167"/>
      <c r="O2243" s="405"/>
      <c r="P2243" s="405"/>
    </row>
    <row r="2244" spans="1:16" ht="54.75" hidden="1" customHeight="1">
      <c r="A2244" s="273"/>
      <c r="B2244" s="481" t="str">
        <f t="shared" ref="B2244:N2245" si="438">B1447</f>
        <v>M2007G1918N</v>
      </c>
      <c r="C2244" s="490" t="str">
        <f t="shared" si="438"/>
        <v>TECNOLOGIA DA INFORMAÇÃO DAS UNIDADES ACADÊMICAS</v>
      </c>
      <c r="D2244" s="483">
        <f t="shared" si="438"/>
        <v>8100</v>
      </c>
      <c r="E2244" s="484">
        <f t="shared" si="438"/>
        <v>108288</v>
      </c>
      <c r="F2244" s="526" t="str">
        <f t="shared" si="438"/>
        <v>C. ABAETETUBA</v>
      </c>
      <c r="G2244" s="488" t="str">
        <f t="shared" si="438"/>
        <v>Aquisição e Manutenção de TI</v>
      </c>
      <c r="H2244" s="489">
        <f t="shared" si="438"/>
        <v>1</v>
      </c>
      <c r="I2244" s="473">
        <f t="shared" si="438"/>
        <v>15000</v>
      </c>
      <c r="J2244" s="473">
        <f t="shared" si="438"/>
        <v>15226</v>
      </c>
      <c r="K2244" s="473">
        <f t="shared" si="438"/>
        <v>30226</v>
      </c>
      <c r="L2244" s="167">
        <f t="shared" si="438"/>
        <v>15000</v>
      </c>
      <c r="M2244" s="167">
        <f t="shared" si="438"/>
        <v>15226</v>
      </c>
      <c r="N2244" s="167">
        <f t="shared" si="438"/>
        <v>30226</v>
      </c>
      <c r="O2244" s="405"/>
      <c r="P2244" s="405"/>
    </row>
    <row r="2245" spans="1:16" ht="54.75" hidden="1" customHeight="1">
      <c r="A2245" s="273"/>
      <c r="B2245" s="481" t="str">
        <f t="shared" si="438"/>
        <v>M2016G0118N</v>
      </c>
      <c r="C2245" s="490" t="str">
        <f t="shared" si="438"/>
        <v>AQUISIÇÃO DE EQUIPAMENTOS DE TIC PARA AS UNIDADES ACADÊMICAS</v>
      </c>
      <c r="D2245" s="483">
        <f t="shared" si="438"/>
        <v>112</v>
      </c>
      <c r="E2245" s="484">
        <f t="shared" si="438"/>
        <v>108288</v>
      </c>
      <c r="F2245" s="526" t="str">
        <f t="shared" si="438"/>
        <v>C. ABAETETUBA</v>
      </c>
      <c r="G2245" s="488" t="str">
        <f t="shared" si="438"/>
        <v>Aquisição de Equipamento</v>
      </c>
      <c r="H2245" s="489">
        <f t="shared" si="438"/>
        <v>0</v>
      </c>
      <c r="I2245" s="473">
        <f t="shared" si="438"/>
        <v>0</v>
      </c>
      <c r="J2245" s="473">
        <f t="shared" si="438"/>
        <v>0</v>
      </c>
      <c r="K2245" s="473">
        <f t="shared" si="438"/>
        <v>0</v>
      </c>
      <c r="L2245" s="167"/>
      <c r="M2245" s="167"/>
      <c r="N2245" s="167"/>
      <c r="O2245" s="405"/>
      <c r="P2245" s="405"/>
    </row>
    <row r="2246" spans="1:16" ht="54.75" hidden="1" customHeight="1">
      <c r="A2246" s="273"/>
      <c r="B2246" s="481" t="str">
        <f t="shared" ref="B2246:N2247" si="439">B1480</f>
        <v>M2007G1918N</v>
      </c>
      <c r="C2246" s="490" t="str">
        <f t="shared" si="439"/>
        <v>TECNOLOGIA DA INFORMAÇÃO DAS UNIDADES ACADÊMICAS</v>
      </c>
      <c r="D2246" s="483">
        <f t="shared" si="439"/>
        <v>8100</v>
      </c>
      <c r="E2246" s="484">
        <f t="shared" si="439"/>
        <v>108288</v>
      </c>
      <c r="F2246" s="526" t="str">
        <f t="shared" si="439"/>
        <v>C. ALTAMIRA</v>
      </c>
      <c r="G2246" s="488" t="str">
        <f t="shared" si="439"/>
        <v>Aquisição e Manutenção de TI</v>
      </c>
      <c r="H2246" s="489">
        <f t="shared" si="439"/>
        <v>1</v>
      </c>
      <c r="I2246" s="473">
        <f t="shared" si="439"/>
        <v>36847</v>
      </c>
      <c r="J2246" s="473">
        <f t="shared" si="439"/>
        <v>12500</v>
      </c>
      <c r="K2246" s="473">
        <f t="shared" si="439"/>
        <v>49347</v>
      </c>
      <c r="L2246" s="167">
        <f t="shared" si="439"/>
        <v>36847</v>
      </c>
      <c r="M2246" s="167">
        <f t="shared" si="439"/>
        <v>12500</v>
      </c>
      <c r="N2246" s="167">
        <f t="shared" si="439"/>
        <v>49347</v>
      </c>
      <c r="O2246" s="405"/>
      <c r="P2246" s="405"/>
    </row>
    <row r="2247" spans="1:16" ht="54.75" hidden="1" customHeight="1">
      <c r="A2247" s="273"/>
      <c r="B2247" s="481" t="str">
        <f t="shared" si="439"/>
        <v>M2016G0118N</v>
      </c>
      <c r="C2247" s="490" t="str">
        <f t="shared" si="439"/>
        <v>AQUISIÇÃO DE EQUIPAMENTOS DE TIC PARA AS UNIDADES ACADÊMICAS</v>
      </c>
      <c r="D2247" s="483">
        <f t="shared" si="439"/>
        <v>112</v>
      </c>
      <c r="E2247" s="484">
        <f t="shared" si="439"/>
        <v>108288</v>
      </c>
      <c r="F2247" s="526" t="str">
        <f t="shared" si="439"/>
        <v>C. ALTAMIRA</v>
      </c>
      <c r="G2247" s="488" t="str">
        <f t="shared" si="439"/>
        <v>Aquisição de Equipamento</v>
      </c>
      <c r="H2247" s="489">
        <f t="shared" si="439"/>
        <v>0</v>
      </c>
      <c r="I2247" s="473">
        <f t="shared" si="439"/>
        <v>0</v>
      </c>
      <c r="J2247" s="473">
        <f t="shared" si="439"/>
        <v>0</v>
      </c>
      <c r="K2247" s="473">
        <f t="shared" si="439"/>
        <v>0</v>
      </c>
      <c r="L2247" s="167"/>
      <c r="M2247" s="167"/>
      <c r="N2247" s="167"/>
      <c r="O2247" s="405"/>
      <c r="P2247" s="405"/>
    </row>
    <row r="2248" spans="1:16" ht="54.75" hidden="1" customHeight="1">
      <c r="A2248" s="273"/>
      <c r="B2248" s="481" t="str">
        <f t="shared" ref="B2248:N2249" si="440">B1507</f>
        <v>M2007G1918N</v>
      </c>
      <c r="C2248" s="490" t="str">
        <f t="shared" si="440"/>
        <v>TECNOLOGIA DA INFORMAÇÃO DAS UNIDADES ACADÊMICAS</v>
      </c>
      <c r="D2248" s="483">
        <f t="shared" si="440"/>
        <v>8100</v>
      </c>
      <c r="E2248" s="484">
        <f t="shared" si="440"/>
        <v>108288</v>
      </c>
      <c r="F2248" s="526" t="str">
        <f t="shared" si="440"/>
        <v>C. ANANINDEUA</v>
      </c>
      <c r="G2248" s="488" t="str">
        <f t="shared" si="440"/>
        <v>Aquisição e Manutenção de TI</v>
      </c>
      <c r="H2248" s="489">
        <f t="shared" si="440"/>
        <v>1</v>
      </c>
      <c r="I2248" s="473">
        <f t="shared" si="440"/>
        <v>3000</v>
      </c>
      <c r="J2248" s="473">
        <f t="shared" si="440"/>
        <v>822</v>
      </c>
      <c r="K2248" s="473">
        <f t="shared" si="440"/>
        <v>3822</v>
      </c>
      <c r="L2248" s="167">
        <f t="shared" si="440"/>
        <v>3000</v>
      </c>
      <c r="M2248" s="167">
        <f t="shared" si="440"/>
        <v>822</v>
      </c>
      <c r="N2248" s="167">
        <f t="shared" si="440"/>
        <v>3822</v>
      </c>
      <c r="O2248" s="405"/>
      <c r="P2248" s="405"/>
    </row>
    <row r="2249" spans="1:16" ht="54.75" hidden="1" customHeight="1">
      <c r="A2249" s="273"/>
      <c r="B2249" s="481" t="str">
        <f t="shared" si="440"/>
        <v>M2016G0118N</v>
      </c>
      <c r="C2249" s="490" t="str">
        <f t="shared" si="440"/>
        <v>AQUISIÇÃO DE EQUIPAMENTOS PARA AS UNIDADES ACADÊMICAS</v>
      </c>
      <c r="D2249" s="483">
        <f t="shared" si="440"/>
        <v>112</v>
      </c>
      <c r="E2249" s="484">
        <f t="shared" si="440"/>
        <v>108288</v>
      </c>
      <c r="F2249" s="526" t="str">
        <f t="shared" si="440"/>
        <v>C. ANANINDEUA</v>
      </c>
      <c r="G2249" s="488" t="str">
        <f t="shared" si="440"/>
        <v>Aquisição de Equipamento</v>
      </c>
      <c r="H2249" s="489">
        <f t="shared" si="440"/>
        <v>0</v>
      </c>
      <c r="I2249" s="473">
        <f t="shared" si="440"/>
        <v>0</v>
      </c>
      <c r="J2249" s="473">
        <f t="shared" si="440"/>
        <v>0</v>
      </c>
      <c r="K2249" s="473">
        <f t="shared" si="440"/>
        <v>0</v>
      </c>
      <c r="L2249" s="167"/>
      <c r="M2249" s="167"/>
      <c r="N2249" s="167"/>
      <c r="O2249" s="405"/>
      <c r="P2249" s="405"/>
    </row>
    <row r="2250" spans="1:16" ht="54.75" hidden="1" customHeight="1">
      <c r="A2250" s="273"/>
      <c r="B2250" s="481" t="str">
        <f t="shared" ref="B2250:N2251" si="441">B1525</f>
        <v>M2007G1918N</v>
      </c>
      <c r="C2250" s="490" t="str">
        <f t="shared" si="441"/>
        <v>TECNOLOGIA DA INFORMAÇÃO DAS UNIDADES ACADÊMICAS</v>
      </c>
      <c r="D2250" s="483">
        <f t="shared" si="441"/>
        <v>8100</v>
      </c>
      <c r="E2250" s="484">
        <f t="shared" si="441"/>
        <v>108288</v>
      </c>
      <c r="F2250" s="526" t="str">
        <f t="shared" si="441"/>
        <v>C. BRAGANÇA</v>
      </c>
      <c r="G2250" s="488" t="str">
        <f t="shared" si="441"/>
        <v>Aquisição e Manutenção de TI</v>
      </c>
      <c r="H2250" s="489">
        <f t="shared" si="441"/>
        <v>1</v>
      </c>
      <c r="I2250" s="473">
        <f t="shared" si="441"/>
        <v>8720</v>
      </c>
      <c r="J2250" s="473">
        <f t="shared" si="441"/>
        <v>12683</v>
      </c>
      <c r="K2250" s="473">
        <f t="shared" si="441"/>
        <v>21403</v>
      </c>
      <c r="L2250" s="167">
        <f t="shared" si="441"/>
        <v>8720</v>
      </c>
      <c r="M2250" s="167">
        <f t="shared" si="441"/>
        <v>12683</v>
      </c>
      <c r="N2250" s="167">
        <f t="shared" si="441"/>
        <v>21403</v>
      </c>
      <c r="O2250" s="405"/>
      <c r="P2250" s="405"/>
    </row>
    <row r="2251" spans="1:16" ht="54.75" hidden="1" customHeight="1">
      <c r="A2251" s="273"/>
      <c r="B2251" s="481" t="str">
        <f t="shared" si="441"/>
        <v>M2016G0118N</v>
      </c>
      <c r="C2251" s="490" t="str">
        <f t="shared" si="441"/>
        <v>AQUISIÇÃO DE EQUIPAMENTOS PARA AS UNIDADES ACADÊMICAS</v>
      </c>
      <c r="D2251" s="483">
        <f t="shared" si="441"/>
        <v>112</v>
      </c>
      <c r="E2251" s="484">
        <f t="shared" si="441"/>
        <v>108288</v>
      </c>
      <c r="F2251" s="526" t="str">
        <f t="shared" si="441"/>
        <v>C. BRAGANÇA</v>
      </c>
      <c r="G2251" s="488" t="str">
        <f t="shared" si="441"/>
        <v>Aquisição de Equipamento</v>
      </c>
      <c r="H2251" s="489">
        <f t="shared" si="441"/>
        <v>0</v>
      </c>
      <c r="I2251" s="473">
        <f t="shared" si="441"/>
        <v>0</v>
      </c>
      <c r="J2251" s="473">
        <f t="shared" si="441"/>
        <v>0</v>
      </c>
      <c r="K2251" s="473">
        <f t="shared" si="441"/>
        <v>0</v>
      </c>
      <c r="L2251" s="167"/>
      <c r="M2251" s="167"/>
      <c r="N2251" s="167"/>
      <c r="O2251" s="405"/>
      <c r="P2251" s="405"/>
    </row>
    <row r="2252" spans="1:16" ht="54.75" hidden="1" customHeight="1">
      <c r="A2252" s="273"/>
      <c r="B2252" s="481" t="str">
        <f t="shared" ref="B2252:N2253" si="442">B1557</f>
        <v>M2007G1918N</v>
      </c>
      <c r="C2252" s="490" t="str">
        <f t="shared" si="442"/>
        <v>TECNOLOGIA DA INFORMAÇÃO DAS UNIDADES ACADÊMICAS</v>
      </c>
      <c r="D2252" s="483">
        <f t="shared" si="442"/>
        <v>8100</v>
      </c>
      <c r="E2252" s="484">
        <f t="shared" si="442"/>
        <v>108288</v>
      </c>
      <c r="F2252" s="526" t="str">
        <f t="shared" si="442"/>
        <v>C. BREVES</v>
      </c>
      <c r="G2252" s="488" t="str">
        <f t="shared" si="442"/>
        <v>Aquisição e Manutenção de TI</v>
      </c>
      <c r="H2252" s="489">
        <f t="shared" si="442"/>
        <v>1</v>
      </c>
      <c r="I2252" s="473">
        <f t="shared" si="442"/>
        <v>15828</v>
      </c>
      <c r="J2252" s="473">
        <f t="shared" si="442"/>
        <v>2500</v>
      </c>
      <c r="K2252" s="473">
        <f t="shared" si="442"/>
        <v>18328</v>
      </c>
      <c r="L2252" s="167">
        <f t="shared" si="442"/>
        <v>15828</v>
      </c>
      <c r="M2252" s="167">
        <f t="shared" si="442"/>
        <v>2500</v>
      </c>
      <c r="N2252" s="167">
        <f t="shared" si="442"/>
        <v>18328</v>
      </c>
      <c r="O2252" s="405"/>
      <c r="P2252" s="405"/>
    </row>
    <row r="2253" spans="1:16" ht="54.75" hidden="1" customHeight="1">
      <c r="A2253" s="273"/>
      <c r="B2253" s="481" t="str">
        <f t="shared" si="442"/>
        <v>M2016G0118N</v>
      </c>
      <c r="C2253" s="490" t="str">
        <f t="shared" si="442"/>
        <v>AQUISIÇÃO DE EQUIPAMENTOS PARA AS UNIDADES ACADÊMICAS</v>
      </c>
      <c r="D2253" s="483">
        <f t="shared" si="442"/>
        <v>112</v>
      </c>
      <c r="E2253" s="484">
        <f t="shared" si="442"/>
        <v>108288</v>
      </c>
      <c r="F2253" s="526" t="str">
        <f t="shared" si="442"/>
        <v>C. BREVES</v>
      </c>
      <c r="G2253" s="488" t="str">
        <f t="shared" si="442"/>
        <v>Aquisição de Equipamento</v>
      </c>
      <c r="H2253" s="489">
        <f t="shared" si="442"/>
        <v>0</v>
      </c>
      <c r="I2253" s="473">
        <f t="shared" si="442"/>
        <v>0</v>
      </c>
      <c r="J2253" s="473">
        <f t="shared" si="442"/>
        <v>0</v>
      </c>
      <c r="K2253" s="473">
        <f t="shared" si="442"/>
        <v>0</v>
      </c>
      <c r="L2253" s="167"/>
      <c r="M2253" s="167"/>
      <c r="N2253" s="167"/>
      <c r="O2253" s="405"/>
      <c r="P2253" s="405"/>
    </row>
    <row r="2254" spans="1:16" ht="54.75" hidden="1" customHeight="1">
      <c r="A2254" s="273"/>
      <c r="B2254" s="481" t="str">
        <f t="shared" ref="B2254:K2254" si="443">B1587</f>
        <v>M2007G1918N</v>
      </c>
      <c r="C2254" s="490" t="str">
        <f t="shared" si="443"/>
        <v>TECNOLOGIA DA INFORMAÇÃO DAS UNIDADES ACADÊMICAS</v>
      </c>
      <c r="D2254" s="483">
        <f t="shared" si="443"/>
        <v>8100</v>
      </c>
      <c r="E2254" s="484">
        <f t="shared" si="443"/>
        <v>108288</v>
      </c>
      <c r="F2254" s="526" t="str">
        <f t="shared" si="443"/>
        <v>C. CAMETÁ</v>
      </c>
      <c r="G2254" s="488" t="str">
        <f t="shared" si="443"/>
        <v>Aquisição de Equipamento</v>
      </c>
      <c r="H2254" s="489">
        <f t="shared" si="443"/>
        <v>1</v>
      </c>
      <c r="I2254" s="473">
        <f t="shared" si="443"/>
        <v>0</v>
      </c>
      <c r="J2254" s="473">
        <f t="shared" si="443"/>
        <v>10414</v>
      </c>
      <c r="K2254" s="473">
        <f t="shared" si="443"/>
        <v>10414</v>
      </c>
      <c r="L2254" s="167"/>
      <c r="M2254" s="167"/>
      <c r="N2254" s="167"/>
      <c r="O2254" s="405"/>
      <c r="P2254" s="405"/>
    </row>
    <row r="2255" spans="1:16" ht="55.5" hidden="1">
      <c r="A2255" s="273"/>
      <c r="B2255" s="481" t="str">
        <f t="shared" ref="B2255:N2256" si="444">B1598</f>
        <v>M2007G1918N</v>
      </c>
      <c r="C2255" s="490" t="str">
        <f t="shared" si="444"/>
        <v>TECNOLOGIA DA INFORMAÇÃO DAS UNIDADES ACADÊMICAS</v>
      </c>
      <c r="D2255" s="483">
        <f t="shared" si="444"/>
        <v>8100</v>
      </c>
      <c r="E2255" s="484">
        <f t="shared" si="444"/>
        <v>108288</v>
      </c>
      <c r="F2255" s="526" t="str">
        <f t="shared" si="444"/>
        <v>C. CAPANEMA</v>
      </c>
      <c r="G2255" s="488" t="str">
        <f t="shared" si="444"/>
        <v>Aquisição e Manutenção de TI</v>
      </c>
      <c r="H2255" s="489">
        <f t="shared" si="444"/>
        <v>1</v>
      </c>
      <c r="I2255" s="473">
        <f t="shared" si="444"/>
        <v>3227</v>
      </c>
      <c r="J2255" s="473">
        <f t="shared" si="444"/>
        <v>875</v>
      </c>
      <c r="K2255" s="473">
        <f t="shared" si="444"/>
        <v>4102</v>
      </c>
      <c r="L2255" s="167">
        <f t="shared" si="444"/>
        <v>3227</v>
      </c>
      <c r="M2255" s="167">
        <f t="shared" si="444"/>
        <v>875</v>
      </c>
      <c r="N2255" s="167">
        <f t="shared" si="444"/>
        <v>4102</v>
      </c>
      <c r="O2255" s="405"/>
      <c r="P2255" s="405"/>
    </row>
    <row r="2256" spans="1:16" ht="54.75" hidden="1" customHeight="1">
      <c r="A2256" s="273"/>
      <c r="B2256" s="481" t="str">
        <f t="shared" si="444"/>
        <v>M2016G0118N</v>
      </c>
      <c r="C2256" s="490" t="str">
        <f t="shared" si="444"/>
        <v>AQUISIÇÃO DE EQUIPAMENTOS PARA AS UNIDADES ACADÊMICAS</v>
      </c>
      <c r="D2256" s="483">
        <f t="shared" si="444"/>
        <v>112</v>
      </c>
      <c r="E2256" s="484">
        <f t="shared" si="444"/>
        <v>108288</v>
      </c>
      <c r="F2256" s="526" t="str">
        <f t="shared" si="444"/>
        <v>C. CAPANEMA</v>
      </c>
      <c r="G2256" s="488" t="str">
        <f t="shared" si="444"/>
        <v>Aquisição de Equipamento</v>
      </c>
      <c r="H2256" s="489">
        <f t="shared" si="444"/>
        <v>0</v>
      </c>
      <c r="I2256" s="473">
        <f t="shared" si="444"/>
        <v>0</v>
      </c>
      <c r="J2256" s="473">
        <f t="shared" si="444"/>
        <v>0</v>
      </c>
      <c r="K2256" s="473">
        <f t="shared" si="444"/>
        <v>0</v>
      </c>
      <c r="L2256" s="167">
        <f>L1630</f>
        <v>9090</v>
      </c>
      <c r="M2256" s="167">
        <f>M1630</f>
        <v>18179</v>
      </c>
      <c r="N2256" s="167">
        <f>N1630</f>
        <v>27269</v>
      </c>
      <c r="O2256" s="405"/>
      <c r="P2256" s="405"/>
    </row>
    <row r="2257" spans="1:20" ht="54.75" hidden="1" customHeight="1">
      <c r="A2257" s="273"/>
      <c r="B2257" s="481" t="str">
        <f t="shared" ref="B2257:K2258" si="445">B1630</f>
        <v>M2007G1918N</v>
      </c>
      <c r="C2257" s="490" t="str">
        <f t="shared" si="445"/>
        <v>TECNOLOGIA DA INFORMAÇÃO DAS UNIDADES ACADÊMICAS</v>
      </c>
      <c r="D2257" s="483">
        <f t="shared" si="445"/>
        <v>8100</v>
      </c>
      <c r="E2257" s="484">
        <f t="shared" si="445"/>
        <v>108288</v>
      </c>
      <c r="F2257" s="526" t="str">
        <f t="shared" si="445"/>
        <v>C. CASTANHAL</v>
      </c>
      <c r="G2257" s="488" t="str">
        <f t="shared" si="445"/>
        <v>Aquisição e Manutenção de TI</v>
      </c>
      <c r="H2257" s="489">
        <f t="shared" si="445"/>
        <v>1</v>
      </c>
      <c r="I2257" s="473">
        <f t="shared" si="445"/>
        <v>9090</v>
      </c>
      <c r="J2257" s="473">
        <f t="shared" si="445"/>
        <v>18179</v>
      </c>
      <c r="K2257" s="473">
        <f t="shared" si="445"/>
        <v>27269</v>
      </c>
      <c r="L2257" s="167" t="e">
        <f>#REF!</f>
        <v>#REF!</v>
      </c>
      <c r="M2257" s="167" t="e">
        <f>#REF!</f>
        <v>#REF!</v>
      </c>
      <c r="N2257" s="167" t="e">
        <f>#REF!</f>
        <v>#REF!</v>
      </c>
      <c r="O2257" s="405"/>
      <c r="P2257" s="405"/>
    </row>
    <row r="2258" spans="1:20" ht="54.75" hidden="1" customHeight="1">
      <c r="A2258" s="273"/>
      <c r="B2258" s="481" t="str">
        <f t="shared" si="445"/>
        <v>M2016G0118N</v>
      </c>
      <c r="C2258" s="490" t="str">
        <f t="shared" si="445"/>
        <v>AQUISIÇÃO DE EQUIPAMENTOS PARA AS UNIDADES ACADÊMICAS</v>
      </c>
      <c r="D2258" s="483">
        <f t="shared" si="445"/>
        <v>112</v>
      </c>
      <c r="E2258" s="484">
        <f t="shared" si="445"/>
        <v>108288</v>
      </c>
      <c r="F2258" s="526" t="str">
        <f t="shared" si="445"/>
        <v>C. CASTANHAL</v>
      </c>
      <c r="G2258" s="488" t="str">
        <f t="shared" si="445"/>
        <v>Aquisição de Equipamento</v>
      </c>
      <c r="H2258" s="489">
        <f t="shared" si="445"/>
        <v>0</v>
      </c>
      <c r="I2258" s="473">
        <f t="shared" si="445"/>
        <v>0</v>
      </c>
      <c r="J2258" s="473">
        <f t="shared" si="445"/>
        <v>0</v>
      </c>
      <c r="K2258" s="473">
        <f t="shared" si="445"/>
        <v>0</v>
      </c>
      <c r="L2258" s="167"/>
      <c r="M2258" s="167"/>
      <c r="N2258" s="167"/>
      <c r="O2258" s="405"/>
      <c r="P2258" s="405"/>
    </row>
    <row r="2259" spans="1:20" ht="54.75" hidden="1" customHeight="1">
      <c r="A2259" s="273"/>
      <c r="B2259" s="481" t="str">
        <f t="shared" ref="B2259:K2259" si="446">B1642</f>
        <v>M2007G1918N</v>
      </c>
      <c r="C2259" s="490" t="str">
        <f t="shared" si="446"/>
        <v>TECNOLOGIA DA INFORMAÇÃO DAS UNIDADES ACADÊMICAS</v>
      </c>
      <c r="D2259" s="483">
        <f t="shared" si="446"/>
        <v>8100</v>
      </c>
      <c r="E2259" s="484">
        <f t="shared" si="446"/>
        <v>108288</v>
      </c>
      <c r="F2259" s="526" t="str">
        <f t="shared" si="446"/>
        <v>C. SALINÓPOLIS</v>
      </c>
      <c r="G2259" s="488" t="str">
        <f t="shared" si="446"/>
        <v>Aquisição de Equipamento</v>
      </c>
      <c r="H2259" s="489">
        <f t="shared" si="446"/>
        <v>1</v>
      </c>
      <c r="I2259" s="473">
        <f t="shared" si="446"/>
        <v>0</v>
      </c>
      <c r="J2259" s="473">
        <f t="shared" si="446"/>
        <v>1322</v>
      </c>
      <c r="K2259" s="473">
        <f t="shared" si="446"/>
        <v>1322</v>
      </c>
      <c r="L2259" s="167"/>
      <c r="M2259" s="167"/>
      <c r="N2259" s="167"/>
      <c r="O2259" s="405"/>
      <c r="P2259" s="405"/>
    </row>
    <row r="2260" spans="1:20" ht="54.75" hidden="1" customHeight="1">
      <c r="A2260" s="273"/>
      <c r="B2260" s="481" t="str">
        <f t="shared" ref="B2260:N2261" si="447">B1675</f>
        <v>M2007G1918N</v>
      </c>
      <c r="C2260" s="490" t="str">
        <f t="shared" si="447"/>
        <v>TECNOLOGIA DA INFORMAÇÃO DAS UNIDADES ACADÊMICAS</v>
      </c>
      <c r="D2260" s="483">
        <f t="shared" si="447"/>
        <v>8100</v>
      </c>
      <c r="E2260" s="484">
        <f t="shared" si="447"/>
        <v>108288</v>
      </c>
      <c r="F2260" s="526" t="str">
        <f t="shared" si="447"/>
        <v>C. SOURE</v>
      </c>
      <c r="G2260" s="488" t="str">
        <f t="shared" si="447"/>
        <v>Aquisição e Manutenção de TI</v>
      </c>
      <c r="H2260" s="489">
        <f t="shared" si="447"/>
        <v>1</v>
      </c>
      <c r="I2260" s="473">
        <f t="shared" si="447"/>
        <v>10080</v>
      </c>
      <c r="J2260" s="473">
        <f t="shared" si="447"/>
        <v>5373</v>
      </c>
      <c r="K2260" s="473">
        <f t="shared" si="447"/>
        <v>15453</v>
      </c>
      <c r="L2260" s="167">
        <f t="shared" si="447"/>
        <v>10080</v>
      </c>
      <c r="M2260" s="167">
        <f t="shared" si="447"/>
        <v>5373</v>
      </c>
      <c r="N2260" s="167">
        <f t="shared" si="447"/>
        <v>15453</v>
      </c>
      <c r="O2260" s="405"/>
      <c r="P2260" s="405"/>
    </row>
    <row r="2261" spans="1:20" ht="54.75" hidden="1" customHeight="1">
      <c r="A2261" s="273"/>
      <c r="B2261" s="481" t="str">
        <f t="shared" si="447"/>
        <v>M2016G0118N</v>
      </c>
      <c r="C2261" s="490" t="str">
        <f t="shared" si="447"/>
        <v>AQUISIÇÃO DE EQUIPAMENTOS PARA AS UNIDADES ACADÊMICAS</v>
      </c>
      <c r="D2261" s="483">
        <f t="shared" si="447"/>
        <v>112</v>
      </c>
      <c r="E2261" s="484">
        <f t="shared" si="447"/>
        <v>108288</v>
      </c>
      <c r="F2261" s="526" t="str">
        <f t="shared" si="447"/>
        <v>C. SOURE</v>
      </c>
      <c r="G2261" s="488" t="str">
        <f t="shared" si="447"/>
        <v>Aquisição de Equipamento</v>
      </c>
      <c r="H2261" s="489">
        <f t="shared" si="447"/>
        <v>0</v>
      </c>
      <c r="I2261" s="473">
        <f t="shared" si="447"/>
        <v>0</v>
      </c>
      <c r="J2261" s="473">
        <f t="shared" si="447"/>
        <v>0</v>
      </c>
      <c r="K2261" s="473">
        <f t="shared" si="447"/>
        <v>0</v>
      </c>
      <c r="L2261" s="167">
        <f t="shared" si="447"/>
        <v>0</v>
      </c>
      <c r="M2261" s="167">
        <f t="shared" si="447"/>
        <v>0</v>
      </c>
      <c r="N2261" s="167">
        <f t="shared" si="447"/>
        <v>0</v>
      </c>
      <c r="O2261" s="405"/>
      <c r="P2261" s="405"/>
    </row>
    <row r="2262" spans="1:20" ht="54.75" hidden="1" customHeight="1">
      <c r="A2262" s="273"/>
      <c r="B2262" s="481" t="str">
        <f t="shared" ref="B2262:K2262" si="448">B1688</f>
        <v>M2007G1918N</v>
      </c>
      <c r="C2262" s="490" t="str">
        <f t="shared" si="448"/>
        <v>TECNOLOGIA DA INFORMAÇÃO DAS UNIDADES ACADÊMICAS</v>
      </c>
      <c r="D2262" s="483">
        <f t="shared" si="448"/>
        <v>8100</v>
      </c>
      <c r="E2262" s="484">
        <f t="shared" si="448"/>
        <v>108288</v>
      </c>
      <c r="F2262" s="526" t="str">
        <f t="shared" si="448"/>
        <v>C. TUCURUÍ</v>
      </c>
      <c r="G2262" s="488" t="str">
        <f t="shared" si="448"/>
        <v>Aquisição de Equipamento</v>
      </c>
      <c r="H2262" s="489">
        <f t="shared" si="448"/>
        <v>1</v>
      </c>
      <c r="I2262" s="473">
        <f t="shared" si="448"/>
        <v>0</v>
      </c>
      <c r="J2262" s="473">
        <f t="shared" si="448"/>
        <v>5444</v>
      </c>
      <c r="K2262" s="473">
        <f t="shared" si="448"/>
        <v>5444</v>
      </c>
      <c r="L2262" s="167">
        <f>L1677</f>
        <v>179668</v>
      </c>
      <c r="M2262" s="167">
        <f>M1677</f>
        <v>29339</v>
      </c>
      <c r="N2262" s="167">
        <f>N1677</f>
        <v>209007</v>
      </c>
      <c r="O2262" s="405"/>
      <c r="P2262" s="405"/>
    </row>
    <row r="2263" spans="1:20" s="472" customFormat="1" ht="45" hidden="1" customHeight="1">
      <c r="A2263" s="478" t="s">
        <v>200</v>
      </c>
      <c r="B2263" s="1263" t="s">
        <v>200</v>
      </c>
      <c r="C2263" s="1264"/>
      <c r="D2263" s="1264"/>
      <c r="E2263" s="1264"/>
      <c r="F2263" s="1264"/>
      <c r="G2263" s="1264"/>
      <c r="H2263" s="1265"/>
      <c r="I2263" s="479">
        <f>SUM(I2255:I2262)+SUM(I2230:I2254)+SUM(I2190:I2218)</f>
        <v>1708178</v>
      </c>
      <c r="J2263" s="479">
        <f>SUM(J2255:J2262)+SUM(J2230:J2254)+SUM(J2190:J2218)</f>
        <v>307260</v>
      </c>
      <c r="K2263" s="479">
        <f>I2263+J2263</f>
        <v>2015438</v>
      </c>
      <c r="L2263" s="480" t="e">
        <f>SUM(L2190:L2254,L2255:L2260)</f>
        <v>#REF!</v>
      </c>
      <c r="M2263" s="480" t="e">
        <f>SUM(M2190:M2254,M2255:M2260)</f>
        <v>#REF!</v>
      </c>
      <c r="N2263" s="480" t="e">
        <f>SUM(N2190:N2254,N2255:N2260)</f>
        <v>#REF!</v>
      </c>
      <c r="O2263" s="470">
        <f>SUM(O2190:O2254,O2255:O2260)</f>
        <v>0</v>
      </c>
      <c r="P2263" s="470"/>
      <c r="Q2263" s="622"/>
      <c r="R2263" s="470"/>
      <c r="S2263" s="470"/>
      <c r="T2263" s="471"/>
    </row>
    <row r="2264" spans="1:20" ht="30" hidden="1" customHeight="1">
      <c r="A2264" s="46"/>
      <c r="B2264" s="46"/>
      <c r="C2264" s="46"/>
      <c r="D2264" s="46"/>
      <c r="E2264" s="46"/>
      <c r="F2264" s="46"/>
      <c r="G2264" s="46"/>
      <c r="H2264" s="46"/>
      <c r="I2264" s="46"/>
      <c r="J2264" s="46"/>
      <c r="K2264" s="46"/>
      <c r="L2264" s="46"/>
      <c r="M2264" s="46"/>
      <c r="N2264" s="46"/>
      <c r="O2264" s="317"/>
      <c r="P2264" s="317"/>
      <c r="Q2264" s="638"/>
      <c r="R2264" s="27"/>
      <c r="S2264" s="27"/>
      <c r="T2264" s="27"/>
    </row>
    <row r="2265" spans="1:20" ht="30" hidden="1" customHeight="1">
      <c r="A2265" s="27"/>
      <c r="B2265" s="79"/>
      <c r="C2265" s="1204" t="s">
        <v>51</v>
      </c>
      <c r="D2265" s="1204"/>
      <c r="E2265" s="1204"/>
      <c r="F2265" s="1204"/>
      <c r="G2265" s="68"/>
      <c r="H2265" s="68"/>
      <c r="I2265" s="68"/>
      <c r="J2265" s="68"/>
      <c r="K2265" s="68"/>
      <c r="L2265" s="79"/>
      <c r="M2265" s="79"/>
      <c r="N2265" s="79"/>
      <c r="O2265" s="27"/>
      <c r="P2265" s="27"/>
      <c r="Q2265" s="620"/>
      <c r="R2265" s="27"/>
      <c r="S2265" s="27"/>
      <c r="T2265" s="27"/>
    </row>
    <row r="2266" spans="1:20" ht="30" hidden="1" customHeight="1">
      <c r="A2266" s="27"/>
      <c r="B2266" s="79"/>
      <c r="C2266" s="1204" t="s">
        <v>52</v>
      </c>
      <c r="D2266" s="1204"/>
      <c r="E2266" s="1204"/>
      <c r="F2266" s="1204"/>
      <c r="G2266" s="68"/>
      <c r="H2266" s="68"/>
      <c r="I2266" s="68"/>
      <c r="J2266" s="68"/>
      <c r="K2266" s="68"/>
      <c r="L2266" s="79"/>
      <c r="M2266" s="79"/>
      <c r="N2266" s="79"/>
      <c r="O2266" s="27"/>
      <c r="P2266" s="27"/>
      <c r="Q2266" s="620"/>
      <c r="R2266" s="27"/>
      <c r="S2266" s="27"/>
      <c r="T2266" s="27"/>
    </row>
    <row r="2267" spans="1:20" ht="30" hidden="1" customHeight="1">
      <c r="A2267" s="27"/>
      <c r="B2267" s="79"/>
      <c r="C2267" s="1204" t="s">
        <v>50</v>
      </c>
      <c r="D2267" s="1204"/>
      <c r="E2267" s="1204"/>
      <c r="F2267" s="1204"/>
      <c r="G2267" s="68"/>
      <c r="H2267" s="68"/>
      <c r="I2267" s="68"/>
      <c r="J2267" s="68"/>
      <c r="K2267" s="68"/>
      <c r="L2267" s="79"/>
      <c r="M2267" s="79"/>
      <c r="N2267" s="79"/>
      <c r="O2267" s="27"/>
      <c r="P2267" s="27"/>
      <c r="Q2267" s="620"/>
      <c r="R2267" s="27"/>
      <c r="S2267" s="27"/>
      <c r="T2267" s="27"/>
    </row>
    <row r="2268" spans="1:20" ht="20.100000000000001" hidden="1" customHeight="1">
      <c r="A2268" s="27"/>
      <c r="B2268" s="79"/>
      <c r="C2268" s="232"/>
      <c r="D2268" s="232"/>
      <c r="E2268" s="232"/>
      <c r="F2268" s="232"/>
      <c r="G2268" s="68"/>
      <c r="H2268" s="68"/>
      <c r="I2268" s="68"/>
      <c r="J2268" s="68"/>
      <c r="K2268" s="68"/>
      <c r="L2268" s="79"/>
      <c r="M2268" s="79"/>
      <c r="N2268" s="79"/>
      <c r="O2268" s="27"/>
      <c r="P2268" s="27"/>
      <c r="Q2268" s="620"/>
      <c r="R2268" s="27"/>
      <c r="S2268" s="27"/>
      <c r="T2268" s="27"/>
    </row>
    <row r="2269" spans="1:20" ht="30" hidden="1" customHeight="1">
      <c r="A2269" s="27"/>
      <c r="B2269" s="27"/>
      <c r="C2269" s="1226"/>
      <c r="D2269" s="1226"/>
      <c r="E2269" s="1226"/>
      <c r="F2269" s="1226"/>
      <c r="G2269" s="1226"/>
      <c r="H2269" s="1226"/>
      <c r="I2269" s="1226"/>
      <c r="J2269" s="1226"/>
      <c r="K2269" s="1226"/>
      <c r="L2269" s="1226"/>
      <c r="O2269" s="27"/>
      <c r="P2269" s="27"/>
      <c r="Q2269" s="620"/>
      <c r="R2269" s="27"/>
      <c r="S2269" s="27"/>
      <c r="T2269" s="27"/>
    </row>
    <row r="2270" spans="1:20" ht="30" hidden="1" customHeight="1">
      <c r="A2270" s="349" t="s">
        <v>1060</v>
      </c>
      <c r="B2270" s="1226" t="s">
        <v>1061</v>
      </c>
      <c r="C2270" s="1226"/>
      <c r="D2270" s="1226"/>
      <c r="E2270" s="1226"/>
      <c r="F2270" s="1226"/>
      <c r="G2270" s="1226"/>
      <c r="H2270" s="1226"/>
      <c r="I2270" s="1226"/>
      <c r="J2270" s="1226"/>
      <c r="K2270" s="1226"/>
      <c r="L2270" s="349"/>
      <c r="M2270" s="349"/>
      <c r="N2270" s="349"/>
      <c r="O2270" s="27"/>
      <c r="P2270" s="27"/>
      <c r="Q2270" s="620"/>
      <c r="R2270" s="27"/>
      <c r="S2270" s="27"/>
      <c r="T2270" s="27"/>
    </row>
    <row r="2271" spans="1:20" ht="30" hidden="1" customHeight="1">
      <c r="A2271" s="27"/>
      <c r="B2271" s="27"/>
      <c r="C2271" s="608"/>
      <c r="D2271" s="608"/>
      <c r="E2271" s="608"/>
      <c r="F2271" s="608"/>
      <c r="G2271" s="608"/>
      <c r="H2271" s="608"/>
      <c r="I2271" s="608"/>
      <c r="J2271" s="608"/>
      <c r="K2271" s="608"/>
      <c r="L2271" s="608"/>
      <c r="M2271" s="608"/>
      <c r="N2271" s="608"/>
      <c r="O2271" s="27"/>
      <c r="P2271" s="27"/>
      <c r="Q2271" s="620"/>
      <c r="R2271" s="27"/>
      <c r="S2271" s="27"/>
      <c r="T2271" s="27"/>
    </row>
    <row r="2272" spans="1:20" ht="39.950000000000003" hidden="1" customHeight="1">
      <c r="A2272" s="355"/>
      <c r="B2272" s="605" t="s">
        <v>363</v>
      </c>
      <c r="C2272" s="355"/>
      <c r="D2272" s="355"/>
      <c r="E2272" s="355"/>
      <c r="F2272" s="355"/>
      <c r="G2272" s="355"/>
      <c r="H2272" s="355"/>
      <c r="I2272" s="355"/>
      <c r="J2272" s="355"/>
      <c r="K2272" s="355"/>
      <c r="L2272" s="355"/>
      <c r="M2272" s="355"/>
      <c r="N2272" s="355"/>
      <c r="O2272" s="27"/>
      <c r="P2272" s="27"/>
      <c r="Q2272" s="620"/>
      <c r="R2272" s="27"/>
      <c r="S2272" s="27"/>
      <c r="T2272" s="27"/>
    </row>
    <row r="2273" spans="1:20" s="500" customFormat="1" ht="90" hidden="1">
      <c r="A2273" s="496" t="s">
        <v>646</v>
      </c>
      <c r="B2273" s="497" t="s">
        <v>1062</v>
      </c>
      <c r="C2273" s="497" t="s">
        <v>37</v>
      </c>
      <c r="D2273" s="497" t="s">
        <v>440</v>
      </c>
      <c r="E2273" s="497" t="s">
        <v>16</v>
      </c>
      <c r="F2273" s="497" t="s">
        <v>185</v>
      </c>
      <c r="G2273" s="497" t="s">
        <v>178</v>
      </c>
      <c r="H2273" s="497" t="s">
        <v>179</v>
      </c>
      <c r="I2273" s="497" t="s">
        <v>180</v>
      </c>
      <c r="J2273" s="497" t="s">
        <v>181</v>
      </c>
      <c r="K2273" s="497" t="s">
        <v>200</v>
      </c>
      <c r="L2273" s="496" t="s">
        <v>180</v>
      </c>
      <c r="M2273" s="496" t="s">
        <v>181</v>
      </c>
      <c r="N2273" s="496" t="s">
        <v>200</v>
      </c>
      <c r="O2273" s="498" t="s">
        <v>200</v>
      </c>
      <c r="P2273" s="498" t="s">
        <v>200</v>
      </c>
      <c r="Q2273" s="622"/>
      <c r="R2273" s="498"/>
      <c r="S2273" s="498"/>
      <c r="T2273" s="499"/>
    </row>
    <row r="2274" spans="1:20" ht="54.75" hidden="1" customHeight="1">
      <c r="A2274" s="273"/>
      <c r="B2274" s="481" t="str">
        <f t="shared" ref="B2274:N2281" si="449">B591</f>
        <v>O2301O2006N</v>
      </c>
      <c r="C2274" s="490" t="str">
        <f t="shared" si="449"/>
        <v>PRODOUTOR (PARD E PARC)</v>
      </c>
      <c r="D2274" s="483">
        <f t="shared" si="449"/>
        <v>8100</v>
      </c>
      <c r="E2274" s="484">
        <f t="shared" si="449"/>
        <v>108288</v>
      </c>
      <c r="F2274" s="526" t="str">
        <f t="shared" si="449"/>
        <v>PROPESP</v>
      </c>
      <c r="G2274" s="488" t="str">
        <f t="shared" si="449"/>
        <v>Projetos Elaborados</v>
      </c>
      <c r="H2274" s="489">
        <f t="shared" si="449"/>
        <v>100</v>
      </c>
      <c r="I2274" s="473">
        <f t="shared" si="449"/>
        <v>260000</v>
      </c>
      <c r="J2274" s="473">
        <f t="shared" si="449"/>
        <v>0</v>
      </c>
      <c r="K2274" s="473">
        <f t="shared" si="449"/>
        <v>260000</v>
      </c>
      <c r="L2274" s="167">
        <f t="shared" si="449"/>
        <v>260000</v>
      </c>
      <c r="M2274" s="167">
        <f t="shared" si="449"/>
        <v>0</v>
      </c>
      <c r="N2274" s="167">
        <f t="shared" si="449"/>
        <v>260000</v>
      </c>
      <c r="O2274" s="405"/>
      <c r="P2274" s="405"/>
    </row>
    <row r="2275" spans="1:20" ht="54.75" hidden="1" customHeight="1">
      <c r="A2275" s="273"/>
      <c r="B2275" s="481" t="str">
        <f t="shared" si="449"/>
        <v>O2302O2001N</v>
      </c>
      <c r="C2275" s="490" t="str">
        <f t="shared" si="449"/>
        <v xml:space="preserve">PIBIC UFPA </v>
      </c>
      <c r="D2275" s="483">
        <f t="shared" si="449"/>
        <v>8100</v>
      </c>
      <c r="E2275" s="484">
        <f t="shared" si="449"/>
        <v>108288</v>
      </c>
      <c r="F2275" s="526" t="str">
        <f t="shared" si="449"/>
        <v>PROPESP</v>
      </c>
      <c r="G2275" s="488" t="str">
        <f t="shared" si="449"/>
        <v>Alunos Atendidos</v>
      </c>
      <c r="H2275" s="489">
        <f t="shared" si="449"/>
        <v>150</v>
      </c>
      <c r="I2275" s="473">
        <f t="shared" si="449"/>
        <v>2105200</v>
      </c>
      <c r="J2275" s="473">
        <f t="shared" si="449"/>
        <v>0</v>
      </c>
      <c r="K2275" s="473">
        <f t="shared" si="449"/>
        <v>2105200</v>
      </c>
      <c r="L2275" s="167">
        <f t="shared" si="449"/>
        <v>2105200</v>
      </c>
      <c r="M2275" s="167">
        <f t="shared" si="449"/>
        <v>0</v>
      </c>
      <c r="N2275" s="167">
        <f t="shared" si="449"/>
        <v>2105200</v>
      </c>
      <c r="O2275" s="405"/>
      <c r="P2275" s="405"/>
    </row>
    <row r="2276" spans="1:20" ht="54.75" hidden="1" customHeight="1">
      <c r="A2276" s="273"/>
      <c r="B2276" s="481" t="str">
        <f t="shared" si="449"/>
        <v>O2304O2001N</v>
      </c>
      <c r="C2276" s="490" t="str">
        <f t="shared" si="449"/>
        <v>SEMINIC</v>
      </c>
      <c r="D2276" s="483">
        <f t="shared" si="449"/>
        <v>8100</v>
      </c>
      <c r="E2276" s="484">
        <f t="shared" si="449"/>
        <v>108288</v>
      </c>
      <c r="F2276" s="526" t="str">
        <f t="shared" si="449"/>
        <v>PROPESP</v>
      </c>
      <c r="G2276" s="488" t="str">
        <f t="shared" si="449"/>
        <v>Eventos Promovidos/Realizados</v>
      </c>
      <c r="H2276" s="489">
        <f t="shared" si="449"/>
        <v>1</v>
      </c>
      <c r="I2276" s="473">
        <f t="shared" si="449"/>
        <v>280000</v>
      </c>
      <c r="J2276" s="473">
        <f t="shared" si="449"/>
        <v>0</v>
      </c>
      <c r="K2276" s="473">
        <f t="shared" si="449"/>
        <v>280000</v>
      </c>
      <c r="L2276" s="167">
        <f t="shared" si="449"/>
        <v>280000</v>
      </c>
      <c r="M2276" s="167">
        <f t="shared" si="449"/>
        <v>0</v>
      </c>
      <c r="N2276" s="167">
        <f t="shared" si="449"/>
        <v>280000</v>
      </c>
      <c r="O2276" s="405"/>
      <c r="P2276" s="405"/>
    </row>
    <row r="2277" spans="1:20" ht="54.75" hidden="1" customHeight="1">
      <c r="A2277" s="273"/>
      <c r="B2277" s="481" t="str">
        <f t="shared" si="449"/>
        <v>O2305O2003N</v>
      </c>
      <c r="C2277" s="490" t="str">
        <f t="shared" si="449"/>
        <v>PROGRAMA INTERINSTITUCIONAL DE APOIO A PRODUÇÃO ACADÊMICA - PIAPA</v>
      </c>
      <c r="D2277" s="483">
        <f t="shared" si="449"/>
        <v>8100</v>
      </c>
      <c r="E2277" s="484">
        <f t="shared" si="449"/>
        <v>108288</v>
      </c>
      <c r="F2277" s="526" t="str">
        <f t="shared" si="449"/>
        <v>PROPESP</v>
      </c>
      <c r="G2277" s="488" t="str">
        <f t="shared" si="449"/>
        <v>Docente Atendido</v>
      </c>
      <c r="H2277" s="489">
        <f t="shared" si="449"/>
        <v>70</v>
      </c>
      <c r="I2277" s="473">
        <f t="shared" si="449"/>
        <v>250000</v>
      </c>
      <c r="J2277" s="473">
        <f t="shared" si="449"/>
        <v>0</v>
      </c>
      <c r="K2277" s="473">
        <f t="shared" si="449"/>
        <v>250000</v>
      </c>
      <c r="L2277" s="167">
        <f t="shared" si="449"/>
        <v>250000</v>
      </c>
      <c r="M2277" s="167">
        <f t="shared" si="449"/>
        <v>0</v>
      </c>
      <c r="N2277" s="167">
        <f t="shared" si="449"/>
        <v>250000</v>
      </c>
      <c r="O2277" s="405"/>
      <c r="P2277" s="405"/>
    </row>
    <row r="2278" spans="1:20" ht="54.75" hidden="1" customHeight="1">
      <c r="A2278" s="273"/>
      <c r="B2278" s="481" t="str">
        <f t="shared" si="449"/>
        <v>O2306O2006N</v>
      </c>
      <c r="C2278" s="490" t="str">
        <f t="shared" si="449"/>
        <v>PIBIC PRODOUTOR (PARD/PARC)</v>
      </c>
      <c r="D2278" s="483">
        <f t="shared" si="449"/>
        <v>8100</v>
      </c>
      <c r="E2278" s="484">
        <f t="shared" si="449"/>
        <v>108288</v>
      </c>
      <c r="F2278" s="526" t="str">
        <f t="shared" si="449"/>
        <v>PROPESP</v>
      </c>
      <c r="G2278" s="488" t="str">
        <f t="shared" si="449"/>
        <v>Alunos Atendidos</v>
      </c>
      <c r="H2278" s="489">
        <f t="shared" si="449"/>
        <v>200</v>
      </c>
      <c r="I2278" s="473">
        <f t="shared" si="449"/>
        <v>833000</v>
      </c>
      <c r="J2278" s="473">
        <f t="shared" si="449"/>
        <v>0</v>
      </c>
      <c r="K2278" s="473">
        <f t="shared" si="449"/>
        <v>833000</v>
      </c>
      <c r="L2278" s="167">
        <f t="shared" si="449"/>
        <v>833000</v>
      </c>
      <c r="M2278" s="167">
        <f t="shared" si="449"/>
        <v>0</v>
      </c>
      <c r="N2278" s="167">
        <f t="shared" si="449"/>
        <v>833000</v>
      </c>
      <c r="O2278" s="405"/>
      <c r="P2278" s="405"/>
    </row>
    <row r="2279" spans="1:20" ht="54.75" hidden="1" customHeight="1">
      <c r="A2279" s="273"/>
      <c r="B2279" s="481" t="str">
        <f t="shared" si="449"/>
        <v>O2307O2003N</v>
      </c>
      <c r="C2279" s="490" t="str">
        <f t="shared" si="449"/>
        <v>PIAPA/EDITAL</v>
      </c>
      <c r="D2279" s="483">
        <f t="shared" si="449"/>
        <v>8100</v>
      </c>
      <c r="E2279" s="484">
        <f t="shared" si="449"/>
        <v>108288</v>
      </c>
      <c r="F2279" s="526" t="str">
        <f t="shared" si="449"/>
        <v>PROPESP</v>
      </c>
      <c r="G2279" s="488" t="str">
        <f t="shared" si="449"/>
        <v>Docente Atendido</v>
      </c>
      <c r="H2279" s="489">
        <f t="shared" si="449"/>
        <v>70</v>
      </c>
      <c r="I2279" s="473">
        <f t="shared" si="449"/>
        <v>250000</v>
      </c>
      <c r="J2279" s="473">
        <f t="shared" si="449"/>
        <v>0</v>
      </c>
      <c r="K2279" s="473">
        <f t="shared" si="449"/>
        <v>250000</v>
      </c>
      <c r="L2279" s="167">
        <f t="shared" si="449"/>
        <v>250000</v>
      </c>
      <c r="M2279" s="167">
        <f t="shared" si="449"/>
        <v>0</v>
      </c>
      <c r="N2279" s="167">
        <f t="shared" si="449"/>
        <v>250000</v>
      </c>
      <c r="O2279" s="405"/>
      <c r="P2279" s="405"/>
    </row>
    <row r="2280" spans="1:20" ht="54.75" hidden="1" customHeight="1">
      <c r="A2280" s="273"/>
      <c r="B2280" s="481" t="str">
        <f t="shared" si="449"/>
        <v>O2308O2001N</v>
      </c>
      <c r="C2280" s="490" t="str">
        <f t="shared" si="449"/>
        <v>PIBIC INTERIOR</v>
      </c>
      <c r="D2280" s="483">
        <f t="shared" si="449"/>
        <v>8100</v>
      </c>
      <c r="E2280" s="484">
        <f t="shared" si="449"/>
        <v>108288</v>
      </c>
      <c r="F2280" s="526" t="str">
        <f t="shared" si="449"/>
        <v>PROPESP</v>
      </c>
      <c r="G2280" s="488" t="str">
        <f t="shared" si="449"/>
        <v>Alunos Atendidos</v>
      </c>
      <c r="H2280" s="489">
        <f t="shared" si="449"/>
        <v>75</v>
      </c>
      <c r="I2280" s="473">
        <f t="shared" si="449"/>
        <v>650000</v>
      </c>
      <c r="J2280" s="473">
        <f t="shared" si="449"/>
        <v>0</v>
      </c>
      <c r="K2280" s="473">
        <f t="shared" si="449"/>
        <v>650000</v>
      </c>
      <c r="L2280" s="167">
        <f t="shared" si="449"/>
        <v>650000</v>
      </c>
      <c r="M2280" s="167">
        <f t="shared" si="449"/>
        <v>0</v>
      </c>
      <c r="N2280" s="167">
        <f t="shared" si="449"/>
        <v>650000</v>
      </c>
      <c r="O2280" s="405"/>
      <c r="P2280" s="405"/>
    </row>
    <row r="2281" spans="1:20" ht="54.75" hidden="1" customHeight="1">
      <c r="A2281" s="273"/>
      <c r="B2281" s="481" t="str">
        <f t="shared" si="449"/>
        <v>O2310O2007N</v>
      </c>
      <c r="C2281" s="490" t="str">
        <f t="shared" si="449"/>
        <v>PATC</v>
      </c>
      <c r="D2281" s="483">
        <f t="shared" si="449"/>
        <v>8100</v>
      </c>
      <c r="E2281" s="484">
        <f t="shared" si="449"/>
        <v>108288</v>
      </c>
      <c r="F2281" s="526" t="str">
        <f t="shared" si="449"/>
        <v>PROPESP</v>
      </c>
      <c r="G2281" s="488" t="str">
        <f t="shared" si="449"/>
        <v>Projetos Atendidos</v>
      </c>
      <c r="H2281" s="489">
        <f t="shared" si="449"/>
        <v>10</v>
      </c>
      <c r="I2281" s="473">
        <f t="shared" si="449"/>
        <v>300000</v>
      </c>
      <c r="J2281" s="473">
        <f t="shared" si="449"/>
        <v>0</v>
      </c>
      <c r="K2281" s="473">
        <f t="shared" si="449"/>
        <v>300000</v>
      </c>
      <c r="L2281" s="167">
        <f t="shared" si="449"/>
        <v>300000</v>
      </c>
      <c r="M2281" s="167">
        <f t="shared" si="449"/>
        <v>0</v>
      </c>
      <c r="N2281" s="167">
        <f t="shared" si="449"/>
        <v>300000</v>
      </c>
      <c r="O2281" s="405"/>
      <c r="P2281" s="405"/>
    </row>
    <row r="2282" spans="1:20" s="472" customFormat="1" ht="45" hidden="1" customHeight="1">
      <c r="A2282" s="478" t="s">
        <v>200</v>
      </c>
      <c r="B2282" s="1263" t="s">
        <v>200</v>
      </c>
      <c r="C2282" s="1264"/>
      <c r="D2282" s="1264"/>
      <c r="E2282" s="1264"/>
      <c r="F2282" s="1264"/>
      <c r="G2282" s="1264"/>
      <c r="H2282" s="1265"/>
      <c r="I2282" s="479">
        <f>SUM(I2274:I2281)</f>
        <v>4928200</v>
      </c>
      <c r="J2282" s="479"/>
      <c r="K2282" s="479">
        <f>I2282+J2282</f>
        <v>4928200</v>
      </c>
      <c r="L2282" s="480">
        <f>SUM(L2274:L2280)</f>
        <v>4628200</v>
      </c>
      <c r="M2282" s="480"/>
      <c r="N2282" s="480">
        <f>SUM(N2274:N2280)</f>
        <v>4628200</v>
      </c>
      <c r="O2282" s="470">
        <f>N115</f>
        <v>4928200</v>
      </c>
      <c r="P2282" s="470">
        <f>N2282-O2282</f>
        <v>-300000</v>
      </c>
      <c r="Q2282" s="622"/>
      <c r="R2282" s="470"/>
      <c r="S2282" s="470"/>
      <c r="T2282" s="471"/>
    </row>
    <row r="2283" spans="1:20" ht="39.950000000000003" hidden="1" customHeight="1">
      <c r="A2283" s="313"/>
      <c r="B2283" s="79"/>
      <c r="C2283" s="247"/>
      <c r="D2283" s="247"/>
      <c r="E2283" s="247"/>
      <c r="F2283" s="247"/>
      <c r="G2283" s="247"/>
      <c r="H2283" s="247"/>
      <c r="I2283" s="247"/>
      <c r="J2283" s="247"/>
      <c r="K2283" s="247"/>
      <c r="L2283" s="247"/>
      <c r="M2283" s="247"/>
      <c r="N2283" s="247"/>
      <c r="O2283" s="27"/>
      <c r="P2283" s="27"/>
      <c r="Q2283" s="620"/>
      <c r="R2283" s="27"/>
      <c r="S2283" s="27"/>
      <c r="T2283" s="27"/>
    </row>
    <row r="2284" spans="1:20" ht="39.950000000000003" hidden="1" customHeight="1">
      <c r="A2284" s="355"/>
      <c r="B2284" s="605" t="s">
        <v>712</v>
      </c>
      <c r="C2284" s="355"/>
      <c r="D2284" s="355"/>
      <c r="E2284" s="355"/>
      <c r="F2284" s="355"/>
      <c r="G2284" s="355"/>
      <c r="H2284" s="355"/>
      <c r="I2284" s="355"/>
      <c r="J2284" s="355"/>
      <c r="K2284" s="355"/>
      <c r="L2284" s="355"/>
      <c r="M2284" s="355"/>
      <c r="N2284" s="355"/>
      <c r="O2284" s="27"/>
      <c r="P2284" s="27"/>
      <c r="Q2284" s="620"/>
      <c r="R2284" s="27"/>
      <c r="S2284" s="27"/>
      <c r="T2284" s="27"/>
    </row>
    <row r="2285" spans="1:20" s="500" customFormat="1" ht="90" hidden="1">
      <c r="A2285" s="496" t="s">
        <v>646</v>
      </c>
      <c r="B2285" s="497" t="s">
        <v>1062</v>
      </c>
      <c r="C2285" s="497" t="s">
        <v>37</v>
      </c>
      <c r="D2285" s="497" t="s">
        <v>440</v>
      </c>
      <c r="E2285" s="497" t="s">
        <v>16</v>
      </c>
      <c r="F2285" s="497" t="s">
        <v>185</v>
      </c>
      <c r="G2285" s="497" t="s">
        <v>178</v>
      </c>
      <c r="H2285" s="497" t="s">
        <v>179</v>
      </c>
      <c r="I2285" s="497" t="s">
        <v>180</v>
      </c>
      <c r="J2285" s="497" t="s">
        <v>181</v>
      </c>
      <c r="K2285" s="497" t="s">
        <v>200</v>
      </c>
      <c r="L2285" s="496" t="s">
        <v>180</v>
      </c>
      <c r="M2285" s="496" t="s">
        <v>181</v>
      </c>
      <c r="N2285" s="496" t="s">
        <v>200</v>
      </c>
      <c r="O2285" s="498" t="s">
        <v>200</v>
      </c>
      <c r="P2285" s="498" t="s">
        <v>200</v>
      </c>
      <c r="Q2285" s="622"/>
      <c r="R2285" s="498"/>
      <c r="S2285" s="498"/>
      <c r="T2285" s="499"/>
    </row>
    <row r="2286" spans="1:20" ht="54.75" hidden="1" customHeight="1">
      <c r="A2286" s="273"/>
      <c r="B2286" s="481" t="str">
        <f>B398</f>
        <v>M2401G0108N</v>
      </c>
      <c r="C2286" s="490" t="s">
        <v>423</v>
      </c>
      <c r="D2286" s="483">
        <v>112</v>
      </c>
      <c r="E2286" s="484" t="s">
        <v>777</v>
      </c>
      <c r="F2286" s="526" t="s">
        <v>191</v>
      </c>
      <c r="G2286" s="488" t="s">
        <v>421</v>
      </c>
      <c r="H2286" s="489">
        <v>1</v>
      </c>
      <c r="I2286" s="473">
        <f t="shared" ref="I2286:N2287" si="450">I398</f>
        <v>40000</v>
      </c>
      <c r="J2286" s="473">
        <f t="shared" si="450"/>
        <v>0</v>
      </c>
      <c r="K2286" s="473">
        <f t="shared" si="450"/>
        <v>40000</v>
      </c>
      <c r="L2286" s="167">
        <f t="shared" si="450"/>
        <v>40000</v>
      </c>
      <c r="M2286" s="167">
        <f t="shared" si="450"/>
        <v>0</v>
      </c>
      <c r="N2286" s="167">
        <f t="shared" si="450"/>
        <v>40000</v>
      </c>
      <c r="O2286" s="405"/>
      <c r="P2286" s="405"/>
    </row>
    <row r="2287" spans="1:20" ht="54.75" hidden="1" customHeight="1">
      <c r="A2287" s="273"/>
      <c r="B2287" s="481" t="s">
        <v>746</v>
      </c>
      <c r="C2287" s="490" t="s">
        <v>713</v>
      </c>
      <c r="D2287" s="483">
        <v>112</v>
      </c>
      <c r="E2287" s="484" t="s">
        <v>777</v>
      </c>
      <c r="F2287" s="526" t="s">
        <v>191</v>
      </c>
      <c r="G2287" s="488" t="s">
        <v>421</v>
      </c>
      <c r="H2287" s="489">
        <v>1</v>
      </c>
      <c r="I2287" s="473">
        <f t="shared" si="450"/>
        <v>92055</v>
      </c>
      <c r="J2287" s="473">
        <f t="shared" si="450"/>
        <v>0</v>
      </c>
      <c r="K2287" s="473">
        <f t="shared" si="450"/>
        <v>92055</v>
      </c>
      <c r="L2287" s="167">
        <f t="shared" si="450"/>
        <v>92055</v>
      </c>
      <c r="M2287" s="167">
        <f t="shared" si="450"/>
        <v>0</v>
      </c>
      <c r="N2287" s="167">
        <f t="shared" si="450"/>
        <v>92055</v>
      </c>
      <c r="O2287" s="405"/>
      <c r="P2287" s="405"/>
    </row>
    <row r="2288" spans="1:20" s="472" customFormat="1" ht="45" hidden="1" customHeight="1">
      <c r="A2288" s="478" t="s">
        <v>200</v>
      </c>
      <c r="B2288" s="1263" t="s">
        <v>200</v>
      </c>
      <c r="C2288" s="1264"/>
      <c r="D2288" s="1264"/>
      <c r="E2288" s="1264"/>
      <c r="F2288" s="1264"/>
      <c r="G2288" s="1264"/>
      <c r="H2288" s="1265"/>
      <c r="I2288" s="479">
        <f t="shared" ref="I2288:N2288" si="451">SUM(I2286:I2287)</f>
        <v>132055</v>
      </c>
      <c r="J2288" s="479">
        <f t="shared" si="451"/>
        <v>0</v>
      </c>
      <c r="K2288" s="479">
        <f>I2288+J2288</f>
        <v>132055</v>
      </c>
      <c r="L2288" s="480">
        <f t="shared" si="451"/>
        <v>132055</v>
      </c>
      <c r="M2288" s="480">
        <f t="shared" si="451"/>
        <v>0</v>
      </c>
      <c r="N2288" s="480">
        <f t="shared" si="451"/>
        <v>132055</v>
      </c>
      <c r="O2288" s="470">
        <f>N128</f>
        <v>132055</v>
      </c>
      <c r="P2288" s="470">
        <f>N2288-O2288</f>
        <v>0</v>
      </c>
      <c r="Q2288" s="622"/>
      <c r="R2288" s="470"/>
      <c r="S2288" s="470"/>
      <c r="T2288" s="471"/>
    </row>
    <row r="2289" spans="1:20" ht="21.95" hidden="1" customHeight="1">
      <c r="A2289" s="27"/>
      <c r="B2289" s="27"/>
      <c r="F2289" s="27"/>
      <c r="O2289" s="27"/>
      <c r="P2289" s="27"/>
      <c r="Q2289" s="620"/>
      <c r="R2289" s="27"/>
      <c r="S2289" s="27"/>
      <c r="T2289" s="27"/>
    </row>
    <row r="2290" spans="1:20" ht="21.95" hidden="1" customHeight="1">
      <c r="A2290" s="27"/>
      <c r="B2290" s="27"/>
      <c r="F2290" s="27"/>
      <c r="O2290" s="27"/>
      <c r="P2290" s="27"/>
      <c r="Q2290" s="620"/>
      <c r="R2290" s="27"/>
      <c r="S2290" s="27"/>
      <c r="T2290" s="27"/>
    </row>
    <row r="2291" spans="1:20" ht="20.100000000000001" hidden="1" customHeight="1">
      <c r="B2291" s="75"/>
      <c r="C2291" s="1290"/>
      <c r="D2291" s="1290"/>
      <c r="E2291" s="1290"/>
      <c r="F2291" s="1290"/>
      <c r="G2291" s="1290"/>
      <c r="H2291" s="1290"/>
      <c r="I2291" s="1290"/>
      <c r="J2291" s="1290"/>
      <c r="K2291" s="1290"/>
      <c r="L2291" s="1290"/>
      <c r="M2291" s="1290"/>
      <c r="N2291" s="1290"/>
      <c r="O2291" s="27"/>
      <c r="P2291" s="27"/>
      <c r="Q2291" s="620"/>
      <c r="R2291" s="27"/>
      <c r="S2291" s="27"/>
      <c r="T2291" s="27"/>
    </row>
    <row r="2292" spans="1:20" ht="30" hidden="1" customHeight="1">
      <c r="A2292" s="27"/>
      <c r="B2292" s="79"/>
      <c r="C2292" s="1204" t="s">
        <v>51</v>
      </c>
      <c r="D2292" s="1204"/>
      <c r="E2292" s="1204"/>
      <c r="F2292" s="1204"/>
      <c r="G2292" s="68"/>
      <c r="H2292" s="68"/>
      <c r="I2292" s="68"/>
      <c r="J2292" s="68"/>
      <c r="K2292" s="68"/>
      <c r="L2292" s="79"/>
      <c r="M2292" s="79"/>
      <c r="N2292" s="79"/>
      <c r="O2292" s="27"/>
      <c r="P2292" s="27"/>
      <c r="Q2292" s="620"/>
      <c r="R2292" s="27"/>
      <c r="S2292" s="27"/>
      <c r="T2292" s="27"/>
    </row>
    <row r="2293" spans="1:20" ht="30" hidden="1" customHeight="1">
      <c r="A2293" s="27"/>
      <c r="B2293" s="79"/>
      <c r="C2293" s="1204" t="s">
        <v>52</v>
      </c>
      <c r="D2293" s="1204"/>
      <c r="E2293" s="1204"/>
      <c r="F2293" s="1204"/>
      <c r="G2293" s="68"/>
      <c r="H2293" s="68"/>
      <c r="I2293" s="68"/>
      <c r="J2293" s="68"/>
      <c r="K2293" s="68"/>
      <c r="L2293" s="79"/>
      <c r="M2293" s="79"/>
      <c r="N2293" s="79"/>
      <c r="O2293" s="27"/>
      <c r="P2293" s="27"/>
      <c r="Q2293" s="620"/>
      <c r="R2293" s="27"/>
      <c r="S2293" s="27"/>
      <c r="T2293" s="27"/>
    </row>
    <row r="2294" spans="1:20" ht="30" hidden="1" customHeight="1">
      <c r="A2294" s="27"/>
      <c r="B2294" s="79"/>
      <c r="C2294" s="1204" t="s">
        <v>50</v>
      </c>
      <c r="D2294" s="1204"/>
      <c r="E2294" s="1204"/>
      <c r="F2294" s="1204"/>
      <c r="G2294" s="68"/>
      <c r="H2294" s="68"/>
      <c r="I2294" s="68"/>
      <c r="J2294" s="68"/>
      <c r="K2294" s="68"/>
      <c r="L2294" s="79"/>
      <c r="M2294" s="79"/>
      <c r="N2294" s="79"/>
      <c r="O2294" s="27"/>
      <c r="P2294" s="27"/>
      <c r="Q2294" s="620"/>
      <c r="R2294" s="27"/>
      <c r="S2294" s="27"/>
      <c r="T2294" s="27"/>
    </row>
    <row r="2295" spans="1:20" ht="20.100000000000001" hidden="1" customHeight="1">
      <c r="A2295" s="27"/>
      <c r="B2295" s="79"/>
      <c r="C2295" s="232"/>
      <c r="D2295" s="232"/>
      <c r="E2295" s="232"/>
      <c r="F2295" s="232"/>
      <c r="G2295" s="68"/>
      <c r="H2295" s="68"/>
      <c r="I2295" s="68"/>
      <c r="J2295" s="68"/>
      <c r="K2295" s="68"/>
      <c r="L2295" s="79"/>
      <c r="M2295" s="79"/>
      <c r="N2295" s="79"/>
      <c r="O2295" s="27"/>
      <c r="P2295" s="27"/>
      <c r="Q2295" s="620"/>
      <c r="R2295" s="27"/>
      <c r="S2295" s="27"/>
      <c r="T2295" s="27"/>
    </row>
    <row r="2296" spans="1:20" ht="30" hidden="1" customHeight="1">
      <c r="A2296" s="27"/>
      <c r="B2296" s="27"/>
      <c r="C2296" s="1226"/>
      <c r="D2296" s="1226"/>
      <c r="E2296" s="1226"/>
      <c r="F2296" s="1226"/>
      <c r="G2296" s="1226"/>
      <c r="H2296" s="1226"/>
      <c r="I2296" s="1226"/>
      <c r="J2296" s="1226"/>
      <c r="K2296" s="1226"/>
      <c r="L2296" s="1226"/>
      <c r="O2296" s="27"/>
      <c r="P2296" s="27"/>
      <c r="Q2296" s="620"/>
      <c r="R2296" s="27"/>
      <c r="S2296" s="27"/>
      <c r="T2296" s="27"/>
    </row>
    <row r="2297" spans="1:20" ht="30" hidden="1" customHeight="1">
      <c r="A2297" s="349" t="s">
        <v>1060</v>
      </c>
      <c r="B2297" s="1226" t="s">
        <v>1061</v>
      </c>
      <c r="C2297" s="1226"/>
      <c r="D2297" s="1226"/>
      <c r="E2297" s="1226"/>
      <c r="F2297" s="1226"/>
      <c r="G2297" s="1226"/>
      <c r="H2297" s="1226"/>
      <c r="I2297" s="1226"/>
      <c r="J2297" s="1226"/>
      <c r="K2297" s="1226"/>
      <c r="L2297" s="349"/>
      <c r="M2297" s="349"/>
      <c r="N2297" s="349"/>
      <c r="O2297" s="27"/>
      <c r="P2297" s="27"/>
      <c r="Q2297" s="620"/>
      <c r="R2297" s="27"/>
      <c r="S2297" s="27"/>
      <c r="T2297" s="27"/>
    </row>
    <row r="2298" spans="1:20" ht="30" hidden="1" customHeight="1">
      <c r="A2298" s="349"/>
      <c r="B2298" s="46"/>
      <c r="C2298" s="46"/>
      <c r="D2298" s="46"/>
      <c r="E2298" s="46"/>
      <c r="F2298" s="46"/>
      <c r="G2298" s="46"/>
      <c r="H2298" s="46"/>
      <c r="I2298" s="46"/>
      <c r="J2298" s="46"/>
      <c r="K2298" s="46"/>
      <c r="L2298" s="349"/>
      <c r="M2298" s="349"/>
      <c r="N2298" s="349"/>
      <c r="O2298" s="27"/>
      <c r="P2298" s="27"/>
      <c r="Q2298" s="620"/>
      <c r="R2298" s="27"/>
      <c r="S2298" s="27"/>
      <c r="T2298" s="27"/>
    </row>
    <row r="2299" spans="1:20" ht="30" hidden="1" customHeight="1">
      <c r="A2299" s="349"/>
      <c r="B2299" s="46"/>
      <c r="C2299" s="46"/>
      <c r="D2299" s="46"/>
      <c r="E2299" s="46"/>
      <c r="F2299" s="46"/>
      <c r="G2299" s="46"/>
      <c r="H2299" s="46"/>
      <c r="I2299" s="46"/>
      <c r="J2299" s="46"/>
      <c r="K2299" s="46"/>
      <c r="L2299" s="349"/>
      <c r="M2299" s="349"/>
      <c r="N2299" s="349"/>
      <c r="O2299" s="27"/>
      <c r="P2299" s="27"/>
      <c r="Q2299" s="620"/>
      <c r="R2299" s="27"/>
      <c r="S2299" s="27"/>
      <c r="T2299" s="27"/>
    </row>
    <row r="2300" spans="1:20" ht="20.100000000000001" hidden="1" customHeight="1">
      <c r="B2300" s="75"/>
      <c r="C2300" s="608"/>
      <c r="D2300" s="608"/>
      <c r="E2300" s="608"/>
      <c r="F2300" s="608"/>
      <c r="G2300" s="608"/>
      <c r="H2300" s="608"/>
      <c r="I2300" s="608"/>
      <c r="J2300" s="608"/>
      <c r="K2300" s="608"/>
      <c r="L2300" s="608"/>
      <c r="M2300" s="608"/>
      <c r="N2300" s="608"/>
      <c r="O2300" s="27"/>
      <c r="P2300" s="27"/>
      <c r="Q2300" s="620"/>
      <c r="R2300" s="27"/>
      <c r="S2300" s="27"/>
      <c r="T2300" s="27"/>
    </row>
    <row r="2301" spans="1:20" ht="20.100000000000001" hidden="1" customHeight="1">
      <c r="B2301" s="75"/>
      <c r="C2301" s="79"/>
      <c r="D2301" s="79"/>
      <c r="E2301" s="79"/>
      <c r="F2301" s="68"/>
      <c r="G2301" s="68"/>
      <c r="H2301" s="68"/>
      <c r="I2301" s="68"/>
      <c r="J2301" s="68"/>
      <c r="K2301" s="68"/>
      <c r="L2301" s="79"/>
      <c r="M2301" s="79"/>
      <c r="N2301" s="79"/>
      <c r="O2301" s="27"/>
      <c r="P2301" s="27"/>
      <c r="Q2301" s="620"/>
      <c r="R2301" s="27"/>
      <c r="S2301" s="27"/>
      <c r="T2301" s="27"/>
    </row>
    <row r="2302" spans="1:20" ht="39.950000000000003" hidden="1" customHeight="1">
      <c r="A2302" s="355"/>
      <c r="B2302" s="605" t="s">
        <v>436</v>
      </c>
      <c r="C2302" s="355"/>
      <c r="D2302" s="355"/>
      <c r="E2302" s="355"/>
      <c r="F2302" s="355"/>
      <c r="G2302" s="355"/>
      <c r="H2302" s="355"/>
      <c r="I2302" s="355"/>
      <c r="J2302" s="355"/>
      <c r="K2302" s="355"/>
      <c r="L2302" s="355"/>
      <c r="M2302" s="355"/>
      <c r="N2302" s="355"/>
      <c r="O2302" s="27"/>
      <c r="P2302" s="27"/>
      <c r="Q2302" s="620"/>
      <c r="R2302" s="27"/>
      <c r="S2302" s="27"/>
      <c r="T2302" s="27"/>
    </row>
    <row r="2303" spans="1:20" s="500" customFormat="1" ht="90" hidden="1">
      <c r="A2303" s="496" t="s">
        <v>646</v>
      </c>
      <c r="B2303" s="497" t="s">
        <v>1062</v>
      </c>
      <c r="C2303" s="497" t="s">
        <v>37</v>
      </c>
      <c r="D2303" s="497" t="s">
        <v>440</v>
      </c>
      <c r="E2303" s="497" t="s">
        <v>16</v>
      </c>
      <c r="F2303" s="497" t="s">
        <v>185</v>
      </c>
      <c r="G2303" s="497" t="s">
        <v>178</v>
      </c>
      <c r="H2303" s="497" t="s">
        <v>179</v>
      </c>
      <c r="I2303" s="497" t="s">
        <v>180</v>
      </c>
      <c r="J2303" s="497" t="s">
        <v>181</v>
      </c>
      <c r="K2303" s="497" t="s">
        <v>200</v>
      </c>
      <c r="L2303" s="496" t="s">
        <v>180</v>
      </c>
      <c r="M2303" s="496" t="s">
        <v>181</v>
      </c>
      <c r="N2303" s="496" t="s">
        <v>200</v>
      </c>
      <c r="O2303" s="498" t="s">
        <v>200</v>
      </c>
      <c r="P2303" s="498" t="s">
        <v>200</v>
      </c>
      <c r="Q2303" s="622"/>
      <c r="R2303" s="498"/>
      <c r="S2303" s="498"/>
      <c r="T2303" s="499"/>
    </row>
    <row r="2304" spans="1:20" ht="54.75" hidden="1" customHeight="1">
      <c r="A2304" s="273"/>
      <c r="B2304" s="481" t="str">
        <f t="shared" ref="B2304:K2304" si="452">B445</f>
        <v>M2502G1917N</v>
      </c>
      <c r="C2304" s="490" t="str">
        <f t="shared" si="452"/>
        <v>DESPESAS COM ENERGIA ELÉTRICA DO HOSPITAL VETERINÁRIO</v>
      </c>
      <c r="D2304" s="483">
        <f t="shared" si="452"/>
        <v>8100</v>
      </c>
      <c r="E2304" s="484">
        <f t="shared" si="452"/>
        <v>138154</v>
      </c>
      <c r="F2304" s="526" t="str">
        <f t="shared" si="452"/>
        <v>PRECAMPUS</v>
      </c>
      <c r="G2304" s="488" t="str">
        <f t="shared" si="452"/>
        <v>Atendimento Realizado</v>
      </c>
      <c r="H2304" s="489">
        <f t="shared" si="452"/>
        <v>1</v>
      </c>
      <c r="I2304" s="473">
        <f t="shared" si="452"/>
        <v>50204</v>
      </c>
      <c r="J2304" s="473">
        <f t="shared" si="452"/>
        <v>0</v>
      </c>
      <c r="K2304" s="473">
        <f t="shared" si="452"/>
        <v>50204</v>
      </c>
      <c r="L2304" s="167">
        <f t="shared" ref="L2304:N2305" si="453">L1277</f>
        <v>236902</v>
      </c>
      <c r="M2304" s="167">
        <f t="shared" si="453"/>
        <v>0</v>
      </c>
      <c r="N2304" s="167">
        <f t="shared" si="453"/>
        <v>236902</v>
      </c>
      <c r="O2304" s="405"/>
      <c r="P2304" s="405"/>
    </row>
    <row r="2305" spans="1:20" ht="54.75" hidden="1" customHeight="1">
      <c r="A2305" s="273"/>
      <c r="B2305" s="481" t="str">
        <f t="shared" ref="B2305:K2305" si="454">B1278</f>
        <v>M2501G1901N</v>
      </c>
      <c r="C2305" s="490" t="str">
        <f t="shared" si="454"/>
        <v>FUNCIONAMENTO DO HOSPITAL VETERINÁRIO</v>
      </c>
      <c r="D2305" s="483">
        <f t="shared" si="454"/>
        <v>8100</v>
      </c>
      <c r="E2305" s="484" t="str">
        <f t="shared" si="454"/>
        <v>138154</v>
      </c>
      <c r="F2305" s="526" t="str">
        <f t="shared" si="454"/>
        <v>IMV</v>
      </c>
      <c r="G2305" s="488" t="str">
        <f t="shared" si="454"/>
        <v>Unidade Mantida</v>
      </c>
      <c r="H2305" s="489">
        <f t="shared" si="454"/>
        <v>1</v>
      </c>
      <c r="I2305" s="473">
        <f t="shared" si="454"/>
        <v>236902</v>
      </c>
      <c r="J2305" s="473">
        <f t="shared" si="454"/>
        <v>0</v>
      </c>
      <c r="K2305" s="473">
        <f t="shared" si="454"/>
        <v>236902</v>
      </c>
      <c r="L2305" s="167">
        <f t="shared" si="453"/>
        <v>236902</v>
      </c>
      <c r="M2305" s="167">
        <f t="shared" si="453"/>
        <v>0</v>
      </c>
      <c r="N2305" s="167">
        <f t="shared" si="453"/>
        <v>236902</v>
      </c>
      <c r="O2305" s="405"/>
      <c r="P2305" s="405"/>
    </row>
    <row r="2306" spans="1:20" s="472" customFormat="1" ht="45" hidden="1" customHeight="1">
      <c r="A2306" s="478" t="s">
        <v>200</v>
      </c>
      <c r="B2306" s="1263" t="s">
        <v>200</v>
      </c>
      <c r="C2306" s="1264"/>
      <c r="D2306" s="1264"/>
      <c r="E2306" s="1264"/>
      <c r="F2306" s="1264"/>
      <c r="G2306" s="1264"/>
      <c r="H2306" s="1265"/>
      <c r="I2306" s="479">
        <f>SUM(I2304:I2305)</f>
        <v>287106</v>
      </c>
      <c r="J2306" s="479">
        <f>SUM(J2304:J2305)</f>
        <v>0</v>
      </c>
      <c r="K2306" s="479">
        <f>I2306+J2306</f>
        <v>287106</v>
      </c>
      <c r="L2306" s="480">
        <f>SUM(L2305:L2305)</f>
        <v>236902</v>
      </c>
      <c r="M2306" s="480">
        <f>SUM(M2305:M2305)</f>
        <v>0</v>
      </c>
      <c r="N2306" s="480">
        <f>SUM(N2305:N2305)</f>
        <v>236902</v>
      </c>
      <c r="O2306" s="470">
        <f>N116</f>
        <v>236902</v>
      </c>
      <c r="P2306" s="470">
        <f>SUM(P2305:P2305)</f>
        <v>0</v>
      </c>
      <c r="Q2306" s="622"/>
      <c r="R2306" s="470"/>
      <c r="S2306" s="470"/>
      <c r="T2306" s="471"/>
    </row>
    <row r="2307" spans="1:20" s="82" customFormat="1" ht="40.5" hidden="1" customHeight="1">
      <c r="A2307" s="314"/>
      <c r="B2307" s="334"/>
      <c r="C2307" s="334"/>
      <c r="D2307" s="334"/>
      <c r="E2307" s="334"/>
      <c r="F2307" s="334"/>
      <c r="G2307" s="334"/>
      <c r="H2307" s="334"/>
      <c r="I2307" s="422"/>
      <c r="J2307" s="422"/>
      <c r="K2307" s="422"/>
      <c r="L2307" s="316"/>
      <c r="M2307" s="316"/>
      <c r="N2307" s="316"/>
      <c r="O2307" s="316"/>
      <c r="P2307" s="316"/>
      <c r="Q2307" s="639"/>
    </row>
    <row r="2308" spans="1:20" s="82" customFormat="1" ht="40.5" hidden="1" customHeight="1">
      <c r="A2308" s="314"/>
      <c r="B2308" s="349" t="s">
        <v>900</v>
      </c>
      <c r="C2308" s="334"/>
      <c r="D2308" s="334"/>
      <c r="E2308" s="334"/>
      <c r="F2308" s="334"/>
      <c r="G2308" s="334"/>
      <c r="H2308" s="334"/>
      <c r="I2308" s="422"/>
      <c r="J2308" s="422"/>
      <c r="K2308" s="422"/>
      <c r="L2308" s="316"/>
      <c r="M2308" s="316"/>
      <c r="N2308" s="316"/>
      <c r="O2308" s="316"/>
      <c r="P2308" s="316"/>
      <c r="Q2308" s="639"/>
    </row>
    <row r="2309" spans="1:20" s="315" customFormat="1" ht="40.5" hidden="1" customHeight="1">
      <c r="A2309" s="423"/>
      <c r="B2309" s="1308" t="s">
        <v>1062</v>
      </c>
      <c r="C2309" s="1301" t="s">
        <v>37</v>
      </c>
      <c r="D2309" s="1301" t="s">
        <v>440</v>
      </c>
      <c r="E2309" s="1301" t="s">
        <v>16</v>
      </c>
      <c r="F2309" s="1301" t="s">
        <v>185</v>
      </c>
      <c r="G2309" s="1301" t="s">
        <v>178</v>
      </c>
      <c r="H2309" s="1301" t="s">
        <v>179</v>
      </c>
      <c r="I2309" s="1305" t="s">
        <v>180</v>
      </c>
      <c r="J2309" s="1305" t="s">
        <v>181</v>
      </c>
      <c r="K2309" s="1305" t="s">
        <v>200</v>
      </c>
      <c r="L2309" s="1301" t="s">
        <v>180</v>
      </c>
      <c r="M2309" s="1301" t="s">
        <v>181</v>
      </c>
      <c r="N2309" s="1301" t="s">
        <v>200</v>
      </c>
      <c r="O2309" s="1301" t="s">
        <v>200</v>
      </c>
      <c r="P2309" s="1302" t="s">
        <v>200</v>
      </c>
      <c r="Q2309" s="637"/>
    </row>
    <row r="2310" spans="1:20" s="315" customFormat="1" ht="40.5" hidden="1" customHeight="1">
      <c r="A2310" s="423"/>
      <c r="B2310" s="1308"/>
      <c r="C2310" s="1301"/>
      <c r="D2310" s="1301"/>
      <c r="E2310" s="1301"/>
      <c r="F2310" s="1301"/>
      <c r="G2310" s="1301"/>
      <c r="H2310" s="1301"/>
      <c r="I2310" s="1306"/>
      <c r="J2310" s="1306"/>
      <c r="K2310" s="1306"/>
      <c r="L2310" s="1301"/>
      <c r="M2310" s="1301"/>
      <c r="N2310" s="1301"/>
      <c r="O2310" s="1301"/>
      <c r="P2310" s="1302"/>
      <c r="Q2310" s="637"/>
    </row>
    <row r="2311" spans="1:20" s="315" customFormat="1" ht="40.5" hidden="1" customHeight="1">
      <c r="A2311" s="423"/>
      <c r="B2311" s="1308"/>
      <c r="C2311" s="1301"/>
      <c r="D2311" s="1301"/>
      <c r="E2311" s="1301"/>
      <c r="F2311" s="1301"/>
      <c r="G2311" s="1301"/>
      <c r="H2311" s="1301"/>
      <c r="I2311" s="1307"/>
      <c r="J2311" s="1307"/>
      <c r="K2311" s="1307"/>
      <c r="L2311" s="1301"/>
      <c r="M2311" s="1301"/>
      <c r="N2311" s="1301"/>
      <c r="O2311" s="1301"/>
      <c r="P2311" s="1302"/>
      <c r="Q2311" s="637"/>
    </row>
    <row r="2312" spans="1:20" s="315" customFormat="1" ht="40.5" hidden="1" customHeight="1">
      <c r="A2312" s="423"/>
      <c r="B2312" s="243" t="e">
        <f>#REF!</f>
        <v>#REF!</v>
      </c>
      <c r="C2312" s="183" t="e">
        <f>#REF!</f>
        <v>#REF!</v>
      </c>
      <c r="D2312" s="230" t="e">
        <f>#REF!</f>
        <v>#REF!</v>
      </c>
      <c r="E2312" s="230" t="e">
        <f>#REF!</f>
        <v>#REF!</v>
      </c>
      <c r="F2312" s="230" t="e">
        <f>#REF!</f>
        <v>#REF!</v>
      </c>
      <c r="G2312" s="230" t="e">
        <f>#REF!</f>
        <v>#REF!</v>
      </c>
      <c r="H2312" s="170" t="e">
        <f>#REF!</f>
        <v>#REF!</v>
      </c>
      <c r="I2312" s="168" t="e">
        <f>#REF!</f>
        <v>#REF!</v>
      </c>
      <c r="J2312" s="168" t="e">
        <f>#REF!</f>
        <v>#REF!</v>
      </c>
      <c r="K2312" s="168" t="e">
        <f>#REF!</f>
        <v>#REF!</v>
      </c>
      <c r="L2312" s="168" t="e">
        <f>#REF!</f>
        <v>#REF!</v>
      </c>
      <c r="M2312" s="168" t="e">
        <f>#REF!</f>
        <v>#REF!</v>
      </c>
      <c r="N2312" s="168" t="e">
        <f>#REF!</f>
        <v>#REF!</v>
      </c>
      <c r="O2312" s="424"/>
      <c r="P2312" s="425"/>
      <c r="Q2312" s="637"/>
    </row>
    <row r="2313" spans="1:20" s="315" customFormat="1" ht="40.5" hidden="1" customHeight="1">
      <c r="A2313" s="314"/>
      <c r="B2313" s="243" t="e">
        <f>#REF!</f>
        <v>#REF!</v>
      </c>
      <c r="C2313" s="183" t="e">
        <f>#REF!</f>
        <v>#REF!</v>
      </c>
      <c r="D2313" s="230" t="e">
        <f>#REF!</f>
        <v>#REF!</v>
      </c>
      <c r="E2313" s="230" t="e">
        <f>#REF!</f>
        <v>#REF!</v>
      </c>
      <c r="F2313" s="230" t="e">
        <f>#REF!</f>
        <v>#REF!</v>
      </c>
      <c r="G2313" s="230" t="e">
        <f>#REF!</f>
        <v>#REF!</v>
      </c>
      <c r="H2313" s="170" t="e">
        <f>#REF!</f>
        <v>#REF!</v>
      </c>
      <c r="I2313" s="168" t="e">
        <f>#REF!</f>
        <v>#REF!</v>
      </c>
      <c r="J2313" s="168" t="e">
        <f>#REF!</f>
        <v>#REF!</v>
      </c>
      <c r="K2313" s="168" t="e">
        <f>#REF!</f>
        <v>#REF!</v>
      </c>
      <c r="L2313" s="168" t="e">
        <f>#REF!</f>
        <v>#REF!</v>
      </c>
      <c r="M2313" s="168" t="e">
        <f>#REF!</f>
        <v>#REF!</v>
      </c>
      <c r="N2313" s="168" t="e">
        <f>#REF!</f>
        <v>#REF!</v>
      </c>
      <c r="O2313" s="316"/>
      <c r="P2313" s="316"/>
      <c r="Q2313" s="637"/>
    </row>
    <row r="2314" spans="1:20" s="315" customFormat="1" ht="40.5" hidden="1" customHeight="1">
      <c r="A2314" s="314"/>
      <c r="B2314" s="243" t="e">
        <f>#REF!</f>
        <v>#REF!</v>
      </c>
      <c r="C2314" s="183" t="e">
        <f>#REF!</f>
        <v>#REF!</v>
      </c>
      <c r="D2314" s="230" t="e">
        <f>#REF!</f>
        <v>#REF!</v>
      </c>
      <c r="E2314" s="230" t="e">
        <f>#REF!</f>
        <v>#REF!</v>
      </c>
      <c r="F2314" s="230" t="e">
        <f>#REF!</f>
        <v>#REF!</v>
      </c>
      <c r="G2314" s="230" t="e">
        <f>#REF!</f>
        <v>#REF!</v>
      </c>
      <c r="H2314" s="170" t="e">
        <f>#REF!</f>
        <v>#REF!</v>
      </c>
      <c r="I2314" s="168" t="e">
        <f>#REF!</f>
        <v>#REF!</v>
      </c>
      <c r="J2314" s="168" t="e">
        <f>#REF!</f>
        <v>#REF!</v>
      </c>
      <c r="K2314" s="168" t="e">
        <f>#REF!</f>
        <v>#REF!</v>
      </c>
      <c r="L2314" s="168" t="e">
        <f>#REF!</f>
        <v>#REF!</v>
      </c>
      <c r="M2314" s="168" t="e">
        <f>#REF!</f>
        <v>#REF!</v>
      </c>
      <c r="N2314" s="168" t="e">
        <f>#REF!</f>
        <v>#REF!</v>
      </c>
      <c r="O2314" s="316"/>
      <c r="P2314" s="316"/>
      <c r="Q2314" s="637"/>
    </row>
    <row r="2315" spans="1:20" s="315" customFormat="1" ht="40.5" hidden="1" customHeight="1">
      <c r="A2315" s="314"/>
      <c r="B2315" s="243" t="e">
        <f>#REF!</f>
        <v>#REF!</v>
      </c>
      <c r="C2315" s="183" t="e">
        <f>#REF!</f>
        <v>#REF!</v>
      </c>
      <c r="D2315" s="230" t="e">
        <f>#REF!</f>
        <v>#REF!</v>
      </c>
      <c r="E2315" s="230" t="e">
        <f>#REF!</f>
        <v>#REF!</v>
      </c>
      <c r="F2315" s="230" t="e">
        <f>#REF!</f>
        <v>#REF!</v>
      </c>
      <c r="G2315" s="230" t="e">
        <f>#REF!</f>
        <v>#REF!</v>
      </c>
      <c r="H2315" s="170" t="e">
        <f>#REF!</f>
        <v>#REF!</v>
      </c>
      <c r="I2315" s="168" t="e">
        <f>#REF!</f>
        <v>#REF!</v>
      </c>
      <c r="J2315" s="168" t="e">
        <f>#REF!</f>
        <v>#REF!</v>
      </c>
      <c r="K2315" s="168" t="e">
        <f>#REF!</f>
        <v>#REF!</v>
      </c>
      <c r="L2315" s="168" t="e">
        <f>#REF!</f>
        <v>#REF!</v>
      </c>
      <c r="M2315" s="168" t="e">
        <f>#REF!</f>
        <v>#REF!</v>
      </c>
      <c r="N2315" s="168" t="e">
        <f>#REF!</f>
        <v>#REF!</v>
      </c>
      <c r="O2315" s="316"/>
      <c r="P2315" s="316"/>
      <c r="Q2315" s="637"/>
    </row>
    <row r="2316" spans="1:20" s="315" customFormat="1" ht="40.5" hidden="1" customHeight="1">
      <c r="A2316" s="314"/>
      <c r="B2316" s="243" t="e">
        <f>#REF!</f>
        <v>#REF!</v>
      </c>
      <c r="C2316" s="183" t="e">
        <f>#REF!</f>
        <v>#REF!</v>
      </c>
      <c r="D2316" s="230" t="e">
        <f>#REF!</f>
        <v>#REF!</v>
      </c>
      <c r="E2316" s="230" t="e">
        <f>#REF!</f>
        <v>#REF!</v>
      </c>
      <c r="F2316" s="230" t="e">
        <f>#REF!</f>
        <v>#REF!</v>
      </c>
      <c r="G2316" s="230" t="e">
        <f>#REF!</f>
        <v>#REF!</v>
      </c>
      <c r="H2316" s="170" t="e">
        <f>#REF!</f>
        <v>#REF!</v>
      </c>
      <c r="I2316" s="168" t="e">
        <f>#REF!</f>
        <v>#REF!</v>
      </c>
      <c r="J2316" s="168" t="e">
        <f>#REF!</f>
        <v>#REF!</v>
      </c>
      <c r="K2316" s="168" t="e">
        <f>#REF!</f>
        <v>#REF!</v>
      </c>
      <c r="L2316" s="168" t="e">
        <f>#REF!</f>
        <v>#REF!</v>
      </c>
      <c r="M2316" s="168" t="e">
        <f>#REF!</f>
        <v>#REF!</v>
      </c>
      <c r="N2316" s="168" t="e">
        <f>#REF!</f>
        <v>#REF!</v>
      </c>
      <c r="O2316" s="316"/>
      <c r="P2316" s="316"/>
      <c r="Q2316" s="637"/>
    </row>
    <row r="2317" spans="1:20" s="315" customFormat="1" ht="40.5" hidden="1" customHeight="1">
      <c r="A2317" s="314"/>
      <c r="B2317" s="243" t="e">
        <f>#REF!</f>
        <v>#REF!</v>
      </c>
      <c r="C2317" s="183" t="e">
        <f>#REF!</f>
        <v>#REF!</v>
      </c>
      <c r="D2317" s="230" t="e">
        <f>#REF!</f>
        <v>#REF!</v>
      </c>
      <c r="E2317" s="230" t="e">
        <f>#REF!</f>
        <v>#REF!</v>
      </c>
      <c r="F2317" s="230" t="e">
        <f>#REF!</f>
        <v>#REF!</v>
      </c>
      <c r="G2317" s="230" t="e">
        <f>#REF!</f>
        <v>#REF!</v>
      </c>
      <c r="H2317" s="170" t="e">
        <f>#REF!</f>
        <v>#REF!</v>
      </c>
      <c r="I2317" s="168" t="e">
        <f>#REF!</f>
        <v>#REF!</v>
      </c>
      <c r="J2317" s="168" t="e">
        <f>#REF!</f>
        <v>#REF!</v>
      </c>
      <c r="K2317" s="168" t="e">
        <f>#REF!</f>
        <v>#REF!</v>
      </c>
      <c r="L2317" s="168" t="e">
        <f>#REF!</f>
        <v>#REF!</v>
      </c>
      <c r="M2317" s="168" t="e">
        <f>#REF!</f>
        <v>#REF!</v>
      </c>
      <c r="N2317" s="168" t="e">
        <f>#REF!</f>
        <v>#REF!</v>
      </c>
      <c r="O2317" s="316"/>
      <c r="P2317" s="316"/>
      <c r="Q2317" s="637"/>
    </row>
    <row r="2318" spans="1:20" s="82" customFormat="1" ht="40.5" hidden="1" customHeight="1">
      <c r="A2318" s="314"/>
      <c r="B2318" s="1302" t="s">
        <v>200</v>
      </c>
      <c r="C2318" s="1303"/>
      <c r="D2318" s="1303"/>
      <c r="E2318" s="1303"/>
      <c r="F2318" s="1303"/>
      <c r="G2318" s="1303"/>
      <c r="H2318" s="1304"/>
      <c r="I2318" s="426" t="e">
        <f t="shared" ref="I2318:N2318" si="455">SUM(I2312:I2317)</f>
        <v>#REF!</v>
      </c>
      <c r="J2318" s="426" t="e">
        <f t="shared" si="455"/>
        <v>#REF!</v>
      </c>
      <c r="K2318" s="426" t="e">
        <f t="shared" si="455"/>
        <v>#REF!</v>
      </c>
      <c r="L2318" s="426" t="e">
        <f t="shared" si="455"/>
        <v>#REF!</v>
      </c>
      <c r="M2318" s="426" t="e">
        <f t="shared" si="455"/>
        <v>#REF!</v>
      </c>
      <c r="N2318" s="426" t="e">
        <f t="shared" si="455"/>
        <v>#REF!</v>
      </c>
      <c r="O2318" s="316"/>
      <c r="P2318" s="316"/>
      <c r="Q2318" s="639"/>
    </row>
    <row r="2319" spans="1:20" s="82" customFormat="1" ht="40.5" hidden="1" customHeight="1">
      <c r="A2319" s="314"/>
      <c r="B2319" s="334"/>
      <c r="C2319" s="334"/>
      <c r="D2319" s="334"/>
      <c r="E2319" s="334"/>
      <c r="F2319" s="334"/>
      <c r="G2319" s="334"/>
      <c r="H2319" s="334"/>
      <c r="I2319" s="422"/>
      <c r="J2319" s="422"/>
      <c r="K2319" s="422"/>
      <c r="L2319" s="316"/>
      <c r="M2319" s="316"/>
      <c r="N2319" s="316"/>
      <c r="O2319" s="316"/>
      <c r="P2319" s="316"/>
      <c r="Q2319" s="639"/>
    </row>
    <row r="2320" spans="1:20" ht="21.95" hidden="1" customHeight="1">
      <c r="A2320" s="27"/>
      <c r="B2320" s="27"/>
      <c r="F2320" s="27"/>
      <c r="O2320" s="27"/>
      <c r="P2320" s="27"/>
      <c r="Q2320" s="620"/>
      <c r="R2320" s="27"/>
      <c r="S2320" s="27"/>
      <c r="T2320" s="27"/>
    </row>
    <row r="2321" spans="1:20" ht="21.95" hidden="1" customHeight="1">
      <c r="C2321" s="608"/>
      <c r="D2321" s="608"/>
      <c r="E2321" s="608"/>
      <c r="F2321" s="608"/>
      <c r="G2321" s="23"/>
      <c r="H2321" s="23"/>
      <c r="I2321" s="23"/>
      <c r="J2321" s="23"/>
      <c r="K2321" s="23"/>
      <c r="L2321" s="608"/>
      <c r="M2321" s="608"/>
      <c r="N2321" s="608"/>
      <c r="O2321" s="27"/>
      <c r="P2321" s="27"/>
      <c r="Q2321" s="620"/>
      <c r="R2321" s="27"/>
      <c r="S2321" s="27"/>
      <c r="T2321" s="27"/>
    </row>
    <row r="2322" spans="1:20" ht="39.75" hidden="1" customHeight="1">
      <c r="A2322" s="355"/>
      <c r="B2322" s="605" t="s">
        <v>642</v>
      </c>
      <c r="C2322" s="355"/>
      <c r="D2322" s="355"/>
      <c r="E2322" s="355"/>
      <c r="F2322" s="355"/>
      <c r="G2322" s="355"/>
      <c r="H2322" s="355"/>
      <c r="I2322" s="355"/>
      <c r="J2322" s="355"/>
      <c r="K2322" s="355"/>
      <c r="L2322" s="355"/>
      <c r="M2322" s="355"/>
      <c r="N2322" s="355"/>
      <c r="O2322" s="27"/>
      <c r="P2322" s="27"/>
      <c r="Q2322" s="620"/>
      <c r="R2322" s="27"/>
      <c r="S2322" s="27"/>
      <c r="T2322" s="27"/>
    </row>
    <row r="2323" spans="1:20" s="500" customFormat="1" ht="90" hidden="1">
      <c r="A2323" s="496" t="s">
        <v>646</v>
      </c>
      <c r="B2323" s="497" t="s">
        <v>1062</v>
      </c>
      <c r="C2323" s="497" t="s">
        <v>37</v>
      </c>
      <c r="D2323" s="497" t="s">
        <v>440</v>
      </c>
      <c r="E2323" s="497" t="s">
        <v>16</v>
      </c>
      <c r="F2323" s="497" t="s">
        <v>185</v>
      </c>
      <c r="G2323" s="497" t="s">
        <v>178</v>
      </c>
      <c r="H2323" s="497" t="s">
        <v>179</v>
      </c>
      <c r="I2323" s="497" t="s">
        <v>180</v>
      </c>
      <c r="J2323" s="497" t="s">
        <v>181</v>
      </c>
      <c r="K2323" s="497" t="s">
        <v>200</v>
      </c>
      <c r="L2323" s="496" t="s">
        <v>180</v>
      </c>
      <c r="M2323" s="496" t="s">
        <v>181</v>
      </c>
      <c r="N2323" s="496" t="s">
        <v>200</v>
      </c>
      <c r="O2323" s="498" t="s">
        <v>200</v>
      </c>
      <c r="P2323" s="498" t="s">
        <v>200</v>
      </c>
      <c r="Q2323" s="622"/>
      <c r="R2323" s="498"/>
      <c r="S2323" s="498"/>
      <c r="T2323" s="499"/>
    </row>
    <row r="2324" spans="1:20" ht="54.75" hidden="1" customHeight="1">
      <c r="A2324" s="273"/>
      <c r="B2324" s="481" t="str">
        <f>B1199</f>
        <v>L3001P2301N</v>
      </c>
      <c r="C2324" s="490" t="str">
        <f t="shared" ref="C2324:N2325" si="456">C1199</f>
        <v>ASSISTÊNCIA ESTUDANTIL NA EPT -  EMUFPA/ICA</v>
      </c>
      <c r="D2324" s="483" t="str">
        <f t="shared" si="456"/>
        <v>0100</v>
      </c>
      <c r="E2324" s="484" t="str">
        <f t="shared" si="456"/>
        <v>108293</v>
      </c>
      <c r="F2324" s="526" t="str">
        <f t="shared" si="456"/>
        <v>EMUFPA</v>
      </c>
      <c r="G2324" s="488" t="str">
        <f t="shared" si="456"/>
        <v>Alunos Atendidos</v>
      </c>
      <c r="H2324" s="491">
        <f t="shared" si="456"/>
        <v>1</v>
      </c>
      <c r="I2324" s="473">
        <f t="shared" si="456"/>
        <v>215000</v>
      </c>
      <c r="J2324" s="473">
        <f t="shared" si="456"/>
        <v>0</v>
      </c>
      <c r="K2324" s="473">
        <f t="shared" si="456"/>
        <v>215000</v>
      </c>
      <c r="L2324" s="167">
        <f t="shared" si="456"/>
        <v>215000</v>
      </c>
      <c r="M2324" s="167">
        <f t="shared" si="456"/>
        <v>0</v>
      </c>
      <c r="N2324" s="167">
        <f t="shared" si="456"/>
        <v>215000</v>
      </c>
      <c r="O2324" s="405"/>
      <c r="P2324" s="405"/>
    </row>
    <row r="2325" spans="1:20" ht="54.75" hidden="1" customHeight="1">
      <c r="A2325" s="273"/>
      <c r="B2325" s="481" t="str">
        <f>B1200</f>
        <v>L3002P2301N</v>
      </c>
      <c r="C2325" s="490" t="str">
        <f t="shared" si="456"/>
        <v>ASSISTÊNCIA ESTUDANTIL NA EPT -  ETDUFPA/ICA</v>
      </c>
      <c r="D2325" s="483" t="str">
        <f t="shared" si="456"/>
        <v>0100</v>
      </c>
      <c r="E2325" s="484" t="str">
        <f t="shared" si="456"/>
        <v>108293</v>
      </c>
      <c r="F2325" s="526" t="str">
        <f t="shared" si="456"/>
        <v>ETDUFPA</v>
      </c>
      <c r="G2325" s="488" t="str">
        <f t="shared" si="456"/>
        <v>Alunos Atendidos</v>
      </c>
      <c r="H2325" s="491">
        <f t="shared" si="456"/>
        <v>1</v>
      </c>
      <c r="I2325" s="473">
        <f t="shared" si="456"/>
        <v>273520</v>
      </c>
      <c r="J2325" s="473">
        <f t="shared" si="456"/>
        <v>0</v>
      </c>
      <c r="K2325" s="473">
        <f t="shared" si="456"/>
        <v>273520</v>
      </c>
      <c r="L2325" s="167">
        <f t="shared" si="456"/>
        <v>273520</v>
      </c>
      <c r="M2325" s="167">
        <f t="shared" si="456"/>
        <v>0</v>
      </c>
      <c r="N2325" s="167">
        <f t="shared" si="456"/>
        <v>273520</v>
      </c>
      <c r="O2325" s="405"/>
      <c r="P2325" s="405"/>
    </row>
    <row r="2326" spans="1:20" s="472" customFormat="1" ht="45" hidden="1" customHeight="1">
      <c r="A2326" s="478"/>
      <c r="B2326" s="1263" t="s">
        <v>200</v>
      </c>
      <c r="C2326" s="1264"/>
      <c r="D2326" s="1264"/>
      <c r="E2326" s="1264"/>
      <c r="F2326" s="1264"/>
      <c r="G2326" s="1264"/>
      <c r="H2326" s="1265"/>
      <c r="I2326" s="479">
        <f t="shared" ref="I2326:N2326" si="457">SUM(I2324:I2325)</f>
        <v>488520</v>
      </c>
      <c r="J2326" s="479">
        <f t="shared" si="457"/>
        <v>0</v>
      </c>
      <c r="K2326" s="479">
        <f>I2326+J2326</f>
        <v>488520</v>
      </c>
      <c r="L2326" s="480">
        <f t="shared" si="457"/>
        <v>488520</v>
      </c>
      <c r="M2326" s="480">
        <f t="shared" si="457"/>
        <v>0</v>
      </c>
      <c r="N2326" s="480">
        <f t="shared" si="457"/>
        <v>488520</v>
      </c>
      <c r="O2326" s="470">
        <f>N100</f>
        <v>488520</v>
      </c>
      <c r="P2326" s="470">
        <f>N2326-O2326</f>
        <v>0</v>
      </c>
      <c r="Q2326" s="622"/>
      <c r="R2326" s="470"/>
      <c r="S2326" s="470"/>
      <c r="T2326" s="471"/>
    </row>
    <row r="2327" spans="1:20" ht="21.95" hidden="1" customHeight="1">
      <c r="C2327" s="608"/>
      <c r="D2327" s="608"/>
      <c r="E2327" s="608"/>
      <c r="F2327" s="608"/>
      <c r="G2327" s="23"/>
      <c r="H2327" s="23"/>
      <c r="I2327" s="23"/>
      <c r="J2327" s="23"/>
      <c r="K2327" s="23"/>
      <c r="L2327" s="608"/>
      <c r="M2327" s="608"/>
      <c r="N2327" s="608"/>
      <c r="O2327" s="27"/>
      <c r="P2327" s="27"/>
      <c r="Q2327" s="620"/>
      <c r="R2327" s="27"/>
      <c r="S2327" s="27"/>
      <c r="T2327" s="27"/>
    </row>
    <row r="2328" spans="1:20" ht="21.95" hidden="1" customHeight="1">
      <c r="C2328" s="608"/>
      <c r="D2328" s="608"/>
      <c r="E2328" s="608"/>
      <c r="F2328" s="608"/>
      <c r="G2328" s="23"/>
      <c r="H2328" s="23"/>
      <c r="I2328" s="23"/>
      <c r="J2328" s="23"/>
      <c r="K2328" s="23"/>
      <c r="L2328" s="608"/>
      <c r="M2328" s="608"/>
      <c r="N2328" s="608"/>
      <c r="O2328" s="27"/>
      <c r="P2328" s="27"/>
      <c r="Q2328" s="620"/>
      <c r="R2328" s="27"/>
      <c r="S2328" s="27"/>
      <c r="T2328" s="27"/>
    </row>
    <row r="2329" spans="1:20" ht="39.75" hidden="1" customHeight="1">
      <c r="A2329" s="355"/>
      <c r="B2329" s="605" t="s">
        <v>1274</v>
      </c>
      <c r="C2329" s="355"/>
      <c r="D2329" s="355"/>
      <c r="E2329" s="355"/>
      <c r="F2329" s="355"/>
      <c r="G2329" s="355"/>
      <c r="H2329" s="355"/>
      <c r="I2329" s="355"/>
      <c r="J2329" s="355"/>
      <c r="K2329" s="355"/>
      <c r="L2329" s="355"/>
      <c r="M2329" s="355"/>
      <c r="N2329" s="355"/>
      <c r="O2329" s="27"/>
      <c r="P2329" s="27"/>
      <c r="Q2329" s="620"/>
      <c r="R2329" s="27"/>
      <c r="S2329" s="27"/>
      <c r="T2329" s="27"/>
    </row>
    <row r="2330" spans="1:20" s="500" customFormat="1" ht="90" hidden="1">
      <c r="A2330" s="496" t="s">
        <v>646</v>
      </c>
      <c r="B2330" s="497" t="s">
        <v>1062</v>
      </c>
      <c r="C2330" s="497" t="s">
        <v>37</v>
      </c>
      <c r="D2330" s="497" t="s">
        <v>440</v>
      </c>
      <c r="E2330" s="497" t="s">
        <v>16</v>
      </c>
      <c r="F2330" s="497" t="s">
        <v>185</v>
      </c>
      <c r="G2330" s="497" t="s">
        <v>178</v>
      </c>
      <c r="H2330" s="497" t="s">
        <v>179</v>
      </c>
      <c r="I2330" s="497" t="s">
        <v>180</v>
      </c>
      <c r="J2330" s="497" t="s">
        <v>181</v>
      </c>
      <c r="K2330" s="497" t="s">
        <v>200</v>
      </c>
      <c r="L2330" s="496" t="s">
        <v>180</v>
      </c>
      <c r="M2330" s="496" t="s">
        <v>181</v>
      </c>
      <c r="N2330" s="496" t="s">
        <v>200</v>
      </c>
      <c r="O2330" s="498" t="s">
        <v>200</v>
      </c>
      <c r="P2330" s="498" t="s">
        <v>200</v>
      </c>
      <c r="Q2330" s="622"/>
      <c r="R2330" s="498"/>
      <c r="S2330" s="498"/>
      <c r="T2330" s="499"/>
    </row>
    <row r="2331" spans="1:20" ht="54.75" hidden="1" customHeight="1">
      <c r="A2331" s="228"/>
      <c r="B2331" s="481" t="str">
        <f>B1202</f>
        <v>L3101P2301N</v>
      </c>
      <c r="C2331" s="483" t="str">
        <f t="shared" ref="C2331:P2331" si="458">C1202</f>
        <v>ASSISTÊNCIA ESTUDANTIL IFEPT - ETDUFPA</v>
      </c>
      <c r="D2331" s="483" t="str">
        <f t="shared" si="458"/>
        <v>0100</v>
      </c>
      <c r="E2331" s="483" t="str">
        <f t="shared" si="458"/>
        <v>138150</v>
      </c>
      <c r="F2331" s="483" t="str">
        <f t="shared" si="458"/>
        <v>ETDUFPA</v>
      </c>
      <c r="G2331" s="483" t="str">
        <f t="shared" si="458"/>
        <v>Alunos Atendidos</v>
      </c>
      <c r="H2331" s="483">
        <f t="shared" si="458"/>
        <v>1</v>
      </c>
      <c r="I2331" s="483">
        <f t="shared" si="458"/>
        <v>5309</v>
      </c>
      <c r="J2331" s="483">
        <f t="shared" si="458"/>
        <v>0</v>
      </c>
      <c r="K2331" s="483">
        <f t="shared" si="458"/>
        <v>5309</v>
      </c>
      <c r="L2331" s="483">
        <f t="shared" si="458"/>
        <v>5309</v>
      </c>
      <c r="M2331" s="483">
        <f t="shared" si="458"/>
        <v>0</v>
      </c>
      <c r="N2331" s="483">
        <f t="shared" si="458"/>
        <v>5309</v>
      </c>
      <c r="O2331" s="483">
        <f t="shared" si="458"/>
        <v>0</v>
      </c>
      <c r="P2331" s="483">
        <f t="shared" si="458"/>
        <v>0</v>
      </c>
    </row>
    <row r="2332" spans="1:20" s="472" customFormat="1" ht="45" hidden="1" customHeight="1">
      <c r="A2332" s="478"/>
      <c r="B2332" s="1263" t="s">
        <v>200</v>
      </c>
      <c r="C2332" s="1264"/>
      <c r="D2332" s="1264"/>
      <c r="E2332" s="1264"/>
      <c r="F2332" s="1264"/>
      <c r="G2332" s="1264"/>
      <c r="H2332" s="1265"/>
      <c r="I2332" s="479">
        <f>SUM(I2331:I2331)</f>
        <v>5309</v>
      </c>
      <c r="J2332" s="479">
        <f>SUM(J2331:J2331)</f>
        <v>0</v>
      </c>
      <c r="K2332" s="479">
        <f>I2332+J2332</f>
        <v>5309</v>
      </c>
      <c r="L2332" s="480">
        <f>SUM(L2331:L2331)</f>
        <v>5309</v>
      </c>
      <c r="M2332" s="480">
        <f>SUM(M2331:M2331)</f>
        <v>0</v>
      </c>
      <c r="N2332" s="480">
        <f>SUM(N2331:N2331)</f>
        <v>5309</v>
      </c>
      <c r="O2332" s="470">
        <f>N115</f>
        <v>4928200</v>
      </c>
      <c r="P2332" s="470">
        <f>N2332-O2332</f>
        <v>-4922891</v>
      </c>
      <c r="Q2332" s="622"/>
      <c r="R2332" s="470"/>
      <c r="S2332" s="470"/>
      <c r="T2332" s="471"/>
    </row>
    <row r="2333" spans="1:20" ht="21.75" hidden="1" customHeight="1">
      <c r="C2333" s="608"/>
      <c r="D2333" s="608"/>
      <c r="E2333" s="608"/>
      <c r="F2333" s="608"/>
      <c r="G2333" s="23"/>
      <c r="H2333" s="23"/>
      <c r="I2333" s="23"/>
      <c r="J2333" s="23"/>
      <c r="K2333" s="23"/>
      <c r="L2333" s="608"/>
      <c r="M2333" s="608"/>
      <c r="N2333" s="608"/>
      <c r="O2333" s="27"/>
      <c r="P2333" s="27"/>
      <c r="Q2333" s="620"/>
      <c r="R2333" s="27"/>
      <c r="S2333" s="27"/>
      <c r="T2333" s="27"/>
    </row>
    <row r="2334" spans="1:20" ht="21.95" hidden="1" customHeight="1">
      <c r="O2334" s="27"/>
      <c r="P2334" s="27"/>
      <c r="Q2334" s="620"/>
      <c r="R2334" s="27"/>
      <c r="S2334" s="27"/>
      <c r="T2334" s="27"/>
    </row>
    <row r="2335" spans="1:20" ht="21.95" hidden="1" customHeight="1">
      <c r="O2335" s="27"/>
      <c r="P2335" s="27"/>
      <c r="Q2335" s="620"/>
      <c r="R2335" s="27"/>
      <c r="S2335" s="27"/>
      <c r="T2335" s="27"/>
    </row>
    <row r="2336" spans="1:20" ht="39.950000000000003" hidden="1" customHeight="1">
      <c r="A2336" s="355"/>
      <c r="B2336" s="605" t="s">
        <v>879</v>
      </c>
      <c r="C2336" s="355"/>
      <c r="D2336" s="355"/>
      <c r="E2336" s="355"/>
      <c r="F2336" s="355"/>
      <c r="G2336" s="355"/>
      <c r="H2336" s="355"/>
      <c r="I2336" s="355"/>
      <c r="J2336" s="355"/>
      <c r="K2336" s="355"/>
      <c r="L2336" s="355"/>
      <c r="M2336" s="355"/>
      <c r="N2336" s="355"/>
      <c r="O2336" s="27"/>
      <c r="P2336" s="27"/>
      <c r="Q2336" s="620"/>
      <c r="R2336" s="27"/>
      <c r="S2336" s="27"/>
      <c r="T2336" s="27"/>
    </row>
    <row r="2337" spans="1:20" s="500" customFormat="1" ht="90" hidden="1">
      <c r="A2337" s="496" t="s">
        <v>646</v>
      </c>
      <c r="B2337" s="497" t="s">
        <v>1062</v>
      </c>
      <c r="C2337" s="497" t="s">
        <v>37</v>
      </c>
      <c r="D2337" s="497" t="s">
        <v>440</v>
      </c>
      <c r="E2337" s="497" t="s">
        <v>16</v>
      </c>
      <c r="F2337" s="497" t="s">
        <v>185</v>
      </c>
      <c r="G2337" s="497" t="s">
        <v>178</v>
      </c>
      <c r="H2337" s="497" t="s">
        <v>179</v>
      </c>
      <c r="I2337" s="497" t="s">
        <v>180</v>
      </c>
      <c r="J2337" s="497" t="s">
        <v>181</v>
      </c>
      <c r="K2337" s="497" t="s">
        <v>200</v>
      </c>
      <c r="L2337" s="496" t="s">
        <v>180</v>
      </c>
      <c r="M2337" s="496" t="s">
        <v>181</v>
      </c>
      <c r="N2337" s="496" t="s">
        <v>200</v>
      </c>
      <c r="O2337" s="498" t="s">
        <v>200</v>
      </c>
      <c r="P2337" s="498" t="s">
        <v>200</v>
      </c>
      <c r="Q2337" s="622"/>
      <c r="R2337" s="498"/>
      <c r="S2337" s="498"/>
      <c r="T2337" s="499"/>
    </row>
    <row r="2338" spans="1:20" ht="54.75" hidden="1" customHeight="1">
      <c r="A2338" s="273"/>
      <c r="B2338" s="481" t="str">
        <f>B676</f>
        <v>M3201G1909N</v>
      </c>
      <c r="C2338" s="490" t="str">
        <f>C676</f>
        <v>IDIOMAS SEM FRONTEIRAS</v>
      </c>
      <c r="D2338" s="483">
        <f>D676</f>
        <v>8100</v>
      </c>
      <c r="E2338" s="484">
        <v>108287</v>
      </c>
      <c r="F2338" s="526" t="str">
        <f>F676</f>
        <v>PROINTER</v>
      </c>
      <c r="G2338" s="488" t="str">
        <f>G676</f>
        <v>Iniciativa Apoiada (unidade)</v>
      </c>
      <c r="H2338" s="489">
        <v>1</v>
      </c>
      <c r="I2338" s="473">
        <f t="shared" ref="I2338:O2338" si="459">I676</f>
        <v>60000</v>
      </c>
      <c r="J2338" s="473">
        <f t="shared" si="459"/>
        <v>0</v>
      </c>
      <c r="K2338" s="473">
        <f t="shared" si="459"/>
        <v>60000</v>
      </c>
      <c r="L2338" s="167">
        <f t="shared" si="459"/>
        <v>60000</v>
      </c>
      <c r="M2338" s="167">
        <f t="shared" si="459"/>
        <v>0</v>
      </c>
      <c r="N2338" s="167">
        <f t="shared" si="459"/>
        <v>60000</v>
      </c>
      <c r="O2338" s="405">
        <f t="shared" si="459"/>
        <v>0</v>
      </c>
      <c r="P2338" s="405"/>
    </row>
    <row r="2339" spans="1:20" s="472" customFormat="1" ht="45" hidden="1" customHeight="1">
      <c r="A2339" s="478" t="s">
        <v>200</v>
      </c>
      <c r="B2339" s="1263" t="s">
        <v>200</v>
      </c>
      <c r="C2339" s="1264"/>
      <c r="D2339" s="1264"/>
      <c r="E2339" s="1264"/>
      <c r="F2339" s="1264"/>
      <c r="G2339" s="1264"/>
      <c r="H2339" s="1265"/>
      <c r="I2339" s="479">
        <f>SUM(I2338)</f>
        <v>60000</v>
      </c>
      <c r="J2339" s="479">
        <f t="shared" ref="J2339:O2339" si="460">SUM(J2338)</f>
        <v>0</v>
      </c>
      <c r="K2339" s="479">
        <f>I2339+J2339</f>
        <v>60000</v>
      </c>
      <c r="L2339" s="480">
        <f t="shared" si="460"/>
        <v>60000</v>
      </c>
      <c r="M2339" s="480">
        <f t="shared" si="460"/>
        <v>0</v>
      </c>
      <c r="N2339" s="480">
        <f t="shared" si="460"/>
        <v>60000</v>
      </c>
      <c r="O2339" s="470">
        <f t="shared" si="460"/>
        <v>0</v>
      </c>
      <c r="P2339" s="470">
        <f>SUM(P2338:P2338)</f>
        <v>0</v>
      </c>
      <c r="Q2339" s="622"/>
      <c r="R2339" s="470"/>
      <c r="S2339" s="470"/>
      <c r="T2339" s="471"/>
    </row>
    <row r="2340" spans="1:20" ht="21.95" hidden="1" customHeight="1">
      <c r="O2340" s="27"/>
      <c r="P2340" s="27"/>
      <c r="Q2340" s="620"/>
      <c r="R2340" s="27"/>
      <c r="S2340" s="27"/>
      <c r="T2340" s="27"/>
    </row>
    <row r="2341" spans="1:20" ht="21.95" hidden="1" customHeight="1">
      <c r="C2341" s="608"/>
      <c r="D2341" s="608"/>
      <c r="E2341" s="608"/>
      <c r="F2341" s="608"/>
      <c r="G2341" s="23"/>
      <c r="H2341" s="23"/>
      <c r="I2341" s="23"/>
      <c r="J2341" s="23"/>
      <c r="K2341" s="23"/>
      <c r="L2341" s="608"/>
      <c r="M2341" s="608"/>
      <c r="N2341" s="608"/>
      <c r="O2341" s="27"/>
      <c r="P2341" s="27"/>
      <c r="Q2341" s="620"/>
      <c r="R2341" s="27"/>
      <c r="S2341" s="27"/>
      <c r="T2341" s="27"/>
    </row>
    <row r="2342" spans="1:20" ht="20.100000000000001" hidden="1" customHeight="1">
      <c r="A2342" s="131"/>
      <c r="B2342" s="131"/>
      <c r="C2342" s="130"/>
      <c r="D2342" s="130"/>
      <c r="E2342" s="130"/>
      <c r="F2342" s="132"/>
      <c r="G2342" s="132"/>
      <c r="H2342" s="132"/>
      <c r="I2342" s="132"/>
      <c r="J2342" s="132"/>
      <c r="K2342" s="132"/>
      <c r="L2342" s="130"/>
      <c r="M2342" s="130"/>
      <c r="N2342" s="130"/>
      <c r="O2342" s="27"/>
      <c r="P2342" s="27"/>
      <c r="Q2342" s="620"/>
      <c r="R2342" s="27"/>
      <c r="S2342" s="27"/>
      <c r="T2342" s="27"/>
    </row>
    <row r="2343" spans="1:20" ht="20.100000000000001" hidden="1" customHeight="1">
      <c r="O2343" s="27"/>
      <c r="P2343" s="27"/>
      <c r="Q2343" s="620"/>
      <c r="R2343" s="27"/>
      <c r="S2343" s="27"/>
      <c r="T2343" s="27"/>
    </row>
    <row r="2344" spans="1:20" ht="20.100000000000001" hidden="1" customHeight="1">
      <c r="A2344" s="27"/>
      <c r="B2344" s="27"/>
      <c r="C2344" s="1204" t="s">
        <v>51</v>
      </c>
      <c r="D2344" s="1204"/>
      <c r="E2344" s="1204"/>
      <c r="F2344" s="1204"/>
      <c r="O2344" s="27"/>
      <c r="P2344" s="27"/>
      <c r="Q2344" s="620"/>
      <c r="R2344" s="27"/>
      <c r="S2344" s="27"/>
      <c r="T2344" s="27"/>
    </row>
    <row r="2345" spans="1:20" ht="30" hidden="1" customHeight="1">
      <c r="A2345" s="27"/>
      <c r="B2345" s="27"/>
      <c r="C2345" s="1204" t="s">
        <v>52</v>
      </c>
      <c r="D2345" s="1204"/>
      <c r="E2345" s="1204"/>
      <c r="F2345" s="1204"/>
      <c r="O2345" s="27"/>
      <c r="P2345" s="27"/>
      <c r="Q2345" s="620"/>
      <c r="R2345" s="27"/>
      <c r="S2345" s="27"/>
      <c r="T2345" s="27"/>
    </row>
    <row r="2346" spans="1:20" ht="35.1" hidden="1" customHeight="1">
      <c r="A2346" s="27"/>
      <c r="B2346" s="27"/>
      <c r="C2346" s="1204" t="s">
        <v>50</v>
      </c>
      <c r="D2346" s="1204"/>
      <c r="E2346" s="1204"/>
      <c r="F2346" s="1204"/>
      <c r="O2346" s="27"/>
      <c r="P2346" s="27"/>
      <c r="Q2346" s="620"/>
      <c r="R2346" s="27"/>
      <c r="S2346" s="27"/>
      <c r="T2346" s="27"/>
    </row>
    <row r="2347" spans="1:20" ht="35.1" hidden="1" customHeight="1">
      <c r="A2347" s="27"/>
      <c r="B2347" s="27"/>
      <c r="F2347" s="27"/>
      <c r="O2347" s="27"/>
      <c r="P2347" s="27"/>
      <c r="Q2347" s="620"/>
      <c r="R2347" s="27"/>
      <c r="S2347" s="27"/>
      <c r="T2347" s="27"/>
    </row>
    <row r="2348" spans="1:20" ht="21.95" hidden="1" customHeight="1">
      <c r="A2348" s="27"/>
      <c r="B2348" s="27"/>
      <c r="F2348" s="27"/>
      <c r="O2348" s="27"/>
      <c r="P2348" s="27"/>
      <c r="Q2348" s="620"/>
      <c r="R2348" s="27"/>
      <c r="S2348" s="27"/>
      <c r="T2348" s="27"/>
    </row>
    <row r="2349" spans="1:20" ht="30" hidden="1" customHeight="1">
      <c r="A2349" s="349" t="s">
        <v>1060</v>
      </c>
      <c r="B2349" s="1226" t="s">
        <v>1061</v>
      </c>
      <c r="C2349" s="1226"/>
      <c r="D2349" s="1226"/>
      <c r="E2349" s="1226"/>
      <c r="F2349" s="1226"/>
      <c r="G2349" s="1226"/>
      <c r="H2349" s="1226"/>
      <c r="I2349" s="1226"/>
      <c r="J2349" s="1226"/>
      <c r="K2349" s="1226"/>
      <c r="L2349" s="349"/>
      <c r="M2349" s="349"/>
      <c r="N2349" s="349"/>
      <c r="O2349" s="27"/>
      <c r="P2349" s="27"/>
      <c r="Q2349" s="620"/>
      <c r="R2349" s="27"/>
      <c r="S2349" s="27"/>
      <c r="T2349" s="27"/>
    </row>
    <row r="2350" spans="1:20" ht="21.95" hidden="1" customHeight="1">
      <c r="O2350" s="27"/>
      <c r="P2350" s="27"/>
      <c r="Q2350" s="620"/>
      <c r="R2350" s="27"/>
      <c r="S2350" s="27"/>
      <c r="T2350" s="27"/>
    </row>
    <row r="2351" spans="1:20" ht="35.1" hidden="1" customHeight="1"/>
    <row r="2352" spans="1:20" ht="39.75" hidden="1" customHeight="1">
      <c r="A2352" s="355"/>
      <c r="B2352" s="605" t="s">
        <v>719</v>
      </c>
      <c r="C2352" s="355"/>
      <c r="D2352" s="355"/>
      <c r="E2352" s="355"/>
      <c r="F2352" s="355"/>
      <c r="G2352" s="355"/>
      <c r="H2352" s="355"/>
      <c r="I2352" s="355"/>
      <c r="J2352" s="355"/>
      <c r="K2352" s="355"/>
      <c r="L2352" s="355"/>
      <c r="M2352" s="355"/>
      <c r="N2352" s="355"/>
      <c r="O2352" s="27"/>
      <c r="P2352" s="27"/>
      <c r="Q2352" s="620"/>
      <c r="R2352" s="27"/>
      <c r="S2352" s="27"/>
      <c r="T2352" s="27"/>
    </row>
    <row r="2353" spans="1:20" s="500" customFormat="1" ht="90" hidden="1">
      <c r="A2353" s="496" t="s">
        <v>646</v>
      </c>
      <c r="B2353" s="497" t="s">
        <v>1062</v>
      </c>
      <c r="C2353" s="497" t="s">
        <v>37</v>
      </c>
      <c r="D2353" s="497" t="s">
        <v>440</v>
      </c>
      <c r="E2353" s="497" t="s">
        <v>16</v>
      </c>
      <c r="F2353" s="497" t="s">
        <v>185</v>
      </c>
      <c r="G2353" s="497" t="s">
        <v>178</v>
      </c>
      <c r="H2353" s="497" t="s">
        <v>179</v>
      </c>
      <c r="I2353" s="497" t="s">
        <v>180</v>
      </c>
      <c r="J2353" s="497" t="s">
        <v>181</v>
      </c>
      <c r="K2353" s="497" t="s">
        <v>200</v>
      </c>
      <c r="L2353" s="496" t="s">
        <v>180</v>
      </c>
      <c r="M2353" s="496" t="s">
        <v>181</v>
      </c>
      <c r="N2353" s="496" t="s">
        <v>200</v>
      </c>
      <c r="O2353" s="498" t="s">
        <v>200</v>
      </c>
      <c r="P2353" s="498" t="s">
        <v>200</v>
      </c>
      <c r="Q2353" s="622"/>
      <c r="R2353" s="498"/>
      <c r="S2353" s="498"/>
      <c r="T2353" s="499"/>
    </row>
    <row r="2354" spans="1:20" ht="54.75" hidden="1" customHeight="1">
      <c r="A2354" s="273"/>
      <c r="B2354" s="481" t="str">
        <f t="shared" ref="B2354:N2354" si="461">B518</f>
        <v>M3426G2301N</v>
      </c>
      <c r="C2354" s="490" t="str">
        <f t="shared" si="461"/>
        <v>BOLSAS DE MONITORIA</v>
      </c>
      <c r="D2354" s="483" t="str">
        <f t="shared" si="461"/>
        <v>0100</v>
      </c>
      <c r="E2354" s="484" t="str">
        <f t="shared" si="461"/>
        <v>108298</v>
      </c>
      <c r="F2354" s="526" t="str">
        <f t="shared" si="461"/>
        <v>PROEG</v>
      </c>
      <c r="G2354" s="488" t="str">
        <f t="shared" si="461"/>
        <v>Bolsas Ofertadas</v>
      </c>
      <c r="H2354" s="489">
        <f t="shared" si="461"/>
        <v>1</v>
      </c>
      <c r="I2354" s="473">
        <f t="shared" si="461"/>
        <v>345648</v>
      </c>
      <c r="J2354" s="473">
        <f t="shared" si="461"/>
        <v>0</v>
      </c>
      <c r="K2354" s="473">
        <f t="shared" si="461"/>
        <v>345648</v>
      </c>
      <c r="L2354" s="167">
        <f t="shared" si="461"/>
        <v>345648</v>
      </c>
      <c r="M2354" s="167">
        <f t="shared" si="461"/>
        <v>0</v>
      </c>
      <c r="N2354" s="167">
        <f t="shared" si="461"/>
        <v>345648</v>
      </c>
      <c r="O2354" s="405"/>
      <c r="P2354" s="405"/>
    </row>
    <row r="2355" spans="1:20" ht="54.75" hidden="1" customHeight="1">
      <c r="A2355" s="273"/>
      <c r="B2355" s="481" t="str">
        <f t="shared" ref="B2355:K2355" si="462">B600</f>
        <v>M3403G2301N</v>
      </c>
      <c r="C2355" s="490" t="str">
        <f t="shared" si="462"/>
        <v>BOLSAS PIBIC</v>
      </c>
      <c r="D2355" s="483" t="str">
        <f t="shared" si="462"/>
        <v>0100</v>
      </c>
      <c r="E2355" s="484" t="str">
        <f t="shared" si="462"/>
        <v>108298</v>
      </c>
      <c r="F2355" s="526" t="str">
        <f t="shared" si="462"/>
        <v>PROPESP</v>
      </c>
      <c r="G2355" s="488" t="str">
        <f t="shared" si="462"/>
        <v>Bolsas Ofertadas</v>
      </c>
      <c r="H2355" s="489">
        <f t="shared" si="462"/>
        <v>60</v>
      </c>
      <c r="I2355" s="473">
        <f t="shared" si="462"/>
        <v>530000</v>
      </c>
      <c r="J2355" s="473">
        <f t="shared" si="462"/>
        <v>0</v>
      </c>
      <c r="K2355" s="473">
        <f t="shared" si="462"/>
        <v>530000</v>
      </c>
      <c r="L2355" s="167">
        <f>L859</f>
        <v>0</v>
      </c>
      <c r="M2355" s="167">
        <f>M859</f>
        <v>0</v>
      </c>
      <c r="N2355" s="167">
        <f>N859</f>
        <v>0</v>
      </c>
      <c r="O2355" s="405"/>
      <c r="P2355" s="405"/>
    </row>
    <row r="2356" spans="1:20" ht="54.75" hidden="1" customHeight="1">
      <c r="A2356" s="273"/>
      <c r="B2356" s="481" t="str">
        <f t="shared" ref="B2356:K2356" si="463">B650</f>
        <v>M3434G2301N</v>
      </c>
      <c r="C2356" s="490" t="str">
        <f t="shared" si="463"/>
        <v>AUXÍLIO AOS DISCENTES PARA VIAGENS ACADÊMICAS - AVA</v>
      </c>
      <c r="D2356" s="483" t="str">
        <f t="shared" si="463"/>
        <v>0100</v>
      </c>
      <c r="E2356" s="484" t="str">
        <f t="shared" si="463"/>
        <v>108298</v>
      </c>
      <c r="F2356" s="526" t="str">
        <f t="shared" si="463"/>
        <v>PROEX</v>
      </c>
      <c r="G2356" s="488" t="str">
        <f t="shared" si="463"/>
        <v>Alunos Atendidos</v>
      </c>
      <c r="H2356" s="489">
        <f t="shared" si="463"/>
        <v>500</v>
      </c>
      <c r="I2356" s="473">
        <f t="shared" si="463"/>
        <v>200000</v>
      </c>
      <c r="J2356" s="473">
        <f t="shared" si="463"/>
        <v>0</v>
      </c>
      <c r="K2356" s="473">
        <f t="shared" si="463"/>
        <v>200000</v>
      </c>
      <c r="L2356" s="167">
        <f>L600</f>
        <v>530000</v>
      </c>
      <c r="M2356" s="167">
        <f>M600</f>
        <v>0</v>
      </c>
      <c r="N2356" s="167">
        <f>N600</f>
        <v>530000</v>
      </c>
      <c r="O2356" s="405"/>
      <c r="P2356" s="405"/>
    </row>
    <row r="2357" spans="1:20" ht="54.75" hidden="1" customHeight="1">
      <c r="A2357" s="273"/>
      <c r="B2357" s="481" t="str">
        <f t="shared" ref="B2357:N2370" si="464">B708</f>
        <v>M3404G2301N</v>
      </c>
      <c r="C2357" s="490" t="str">
        <f t="shared" si="464"/>
        <v>BOLSA PERMANÊNCIA AUXÍLIO DIDATICO PEDAGÓGICO</v>
      </c>
      <c r="D2357" s="483" t="str">
        <f t="shared" si="464"/>
        <v>0100</v>
      </c>
      <c r="E2357" s="484" t="str">
        <f t="shared" si="464"/>
        <v>108298</v>
      </c>
      <c r="F2357" s="526" t="str">
        <f t="shared" si="464"/>
        <v>SAEST</v>
      </c>
      <c r="G2357" s="488" t="str">
        <f t="shared" si="464"/>
        <v>Alunos Atendidos</v>
      </c>
      <c r="H2357" s="489">
        <f t="shared" si="464"/>
        <v>1570</v>
      </c>
      <c r="I2357" s="473">
        <f t="shared" si="464"/>
        <v>7006000</v>
      </c>
      <c r="J2357" s="473">
        <f t="shared" si="464"/>
        <v>0</v>
      </c>
      <c r="K2357" s="473">
        <f t="shared" si="464"/>
        <v>7006000</v>
      </c>
      <c r="L2357" s="167">
        <f t="shared" si="464"/>
        <v>7006000</v>
      </c>
      <c r="M2357" s="167">
        <f t="shared" si="464"/>
        <v>0</v>
      </c>
      <c r="N2357" s="167">
        <f t="shared" si="464"/>
        <v>7006000</v>
      </c>
      <c r="O2357" s="405"/>
      <c r="P2357" s="405"/>
    </row>
    <row r="2358" spans="1:20" ht="54.75" hidden="1" customHeight="1">
      <c r="A2358" s="273"/>
      <c r="B2358" s="481" t="str">
        <f t="shared" si="464"/>
        <v>M3409G2301N</v>
      </c>
      <c r="C2358" s="490" t="str">
        <f t="shared" si="464"/>
        <v>BOLSA AUXÍLIO ACADÊMICO INTERVALAR</v>
      </c>
      <c r="D2358" s="483" t="str">
        <f t="shared" si="464"/>
        <v>0100</v>
      </c>
      <c r="E2358" s="484" t="str">
        <f t="shared" si="464"/>
        <v>108298</v>
      </c>
      <c r="F2358" s="526" t="str">
        <f t="shared" si="464"/>
        <v>SAEST</v>
      </c>
      <c r="G2358" s="488" t="str">
        <f t="shared" si="464"/>
        <v>Alunos Atendidos</v>
      </c>
      <c r="H2358" s="489">
        <f t="shared" si="464"/>
        <v>200</v>
      </c>
      <c r="I2358" s="473">
        <f t="shared" si="464"/>
        <v>200000</v>
      </c>
      <c r="J2358" s="473">
        <f t="shared" si="464"/>
        <v>0</v>
      </c>
      <c r="K2358" s="473">
        <f t="shared" si="464"/>
        <v>200000</v>
      </c>
      <c r="L2358" s="167" t="e">
        <f>#REF!</f>
        <v>#REF!</v>
      </c>
      <c r="M2358" s="167" t="e">
        <f>#REF!</f>
        <v>#REF!</v>
      </c>
      <c r="N2358" s="167" t="e">
        <f>#REF!</f>
        <v>#REF!</v>
      </c>
      <c r="O2358" s="405"/>
      <c r="P2358" s="405"/>
    </row>
    <row r="2359" spans="1:20" ht="54.75" hidden="1" customHeight="1">
      <c r="A2359" s="273"/>
      <c r="B2359" s="481" t="str">
        <f t="shared" si="464"/>
        <v>M3410G2301N</v>
      </c>
      <c r="C2359" s="490" t="str">
        <f t="shared" si="464"/>
        <v>BOLSA PERMANÊNCIA AUXÍLIO MORADIA</v>
      </c>
      <c r="D2359" s="483" t="str">
        <f t="shared" si="464"/>
        <v>0100</v>
      </c>
      <c r="E2359" s="484" t="str">
        <f t="shared" si="464"/>
        <v>108298</v>
      </c>
      <c r="F2359" s="526" t="str">
        <f t="shared" si="464"/>
        <v>SAEST</v>
      </c>
      <c r="G2359" s="488" t="str">
        <f t="shared" si="464"/>
        <v>Alunos Atendidos</v>
      </c>
      <c r="H2359" s="489">
        <f t="shared" si="464"/>
        <v>350</v>
      </c>
      <c r="I2359" s="473">
        <f t="shared" si="464"/>
        <v>1680000</v>
      </c>
      <c r="J2359" s="473">
        <f t="shared" si="464"/>
        <v>0</v>
      </c>
      <c r="K2359" s="473">
        <f t="shared" si="464"/>
        <v>1680000</v>
      </c>
      <c r="L2359" s="167">
        <f t="shared" ref="L2359:N2360" si="465">L644</f>
        <v>0</v>
      </c>
      <c r="M2359" s="167">
        <f t="shared" si="465"/>
        <v>0</v>
      </c>
      <c r="N2359" s="167">
        <f t="shared" si="465"/>
        <v>0</v>
      </c>
      <c r="O2359" s="405"/>
      <c r="P2359" s="405"/>
    </row>
    <row r="2360" spans="1:20" ht="54.75" hidden="1" customHeight="1">
      <c r="A2360" s="273"/>
      <c r="B2360" s="481" t="str">
        <f t="shared" si="464"/>
        <v>M3418G2301N</v>
      </c>
      <c r="C2360" s="490" t="str">
        <f t="shared" si="464"/>
        <v>BOLSA PERMANÊNCIA AUXÍLIO EMERGENCIAL MORADIA</v>
      </c>
      <c r="D2360" s="483" t="str">
        <f t="shared" si="464"/>
        <v>0100</v>
      </c>
      <c r="E2360" s="484" t="str">
        <f t="shared" si="464"/>
        <v>108298</v>
      </c>
      <c r="F2360" s="526" t="str">
        <f t="shared" si="464"/>
        <v>SAEST</v>
      </c>
      <c r="G2360" s="488" t="str">
        <f t="shared" si="464"/>
        <v>Alunos Atendidos</v>
      </c>
      <c r="H2360" s="489">
        <f t="shared" si="464"/>
        <v>30</v>
      </c>
      <c r="I2360" s="473">
        <f t="shared" si="464"/>
        <v>144000</v>
      </c>
      <c r="J2360" s="473">
        <f t="shared" si="464"/>
        <v>0</v>
      </c>
      <c r="K2360" s="473">
        <f t="shared" si="464"/>
        <v>144000</v>
      </c>
      <c r="L2360" s="167">
        <f t="shared" si="465"/>
        <v>0</v>
      </c>
      <c r="M2360" s="167">
        <f t="shared" si="465"/>
        <v>0</v>
      </c>
      <c r="N2360" s="167">
        <f t="shared" si="465"/>
        <v>0</v>
      </c>
      <c r="O2360" s="405"/>
      <c r="P2360" s="405"/>
    </row>
    <row r="2361" spans="1:20" ht="54.75" hidden="1" customHeight="1">
      <c r="A2361" s="273"/>
      <c r="B2361" s="481" t="str">
        <f t="shared" si="464"/>
        <v>M3419G2301N</v>
      </c>
      <c r="C2361" s="490" t="str">
        <f t="shared" si="464"/>
        <v>BOLSA PERMANÊNCIA AUXÍLIO EMERGENCIAL DIDÁTICO PEDAGÓGICO</v>
      </c>
      <c r="D2361" s="483" t="str">
        <f t="shared" si="464"/>
        <v>0100</v>
      </c>
      <c r="E2361" s="484" t="str">
        <f t="shared" si="464"/>
        <v>108298</v>
      </c>
      <c r="F2361" s="526" t="str">
        <f t="shared" si="464"/>
        <v>SAEST</v>
      </c>
      <c r="G2361" s="488" t="str">
        <f t="shared" si="464"/>
        <v>Alunos Atendidos</v>
      </c>
      <c r="H2361" s="489">
        <f t="shared" si="464"/>
        <v>30</v>
      </c>
      <c r="I2361" s="473">
        <f t="shared" si="464"/>
        <v>144000</v>
      </c>
      <c r="J2361" s="473">
        <f t="shared" si="464"/>
        <v>0</v>
      </c>
      <c r="K2361" s="473">
        <f t="shared" si="464"/>
        <v>144000</v>
      </c>
      <c r="L2361" s="167" t="e">
        <f>#REF!</f>
        <v>#REF!</v>
      </c>
      <c r="M2361" s="167" t="e">
        <f>#REF!</f>
        <v>#REF!</v>
      </c>
      <c r="N2361" s="167" t="e">
        <f>#REF!</f>
        <v>#REF!</v>
      </c>
      <c r="O2361" s="405"/>
      <c r="P2361" s="405"/>
    </row>
    <row r="2362" spans="1:20" ht="54.75" hidden="1" customHeight="1">
      <c r="A2362" s="273"/>
      <c r="B2362" s="481" t="str">
        <f t="shared" si="464"/>
        <v>M3421G2301N</v>
      </c>
      <c r="C2362" s="490" t="str">
        <f t="shared" si="464"/>
        <v>BOLSA DE LÍNGUAS ESTRANGEIRAS</v>
      </c>
      <c r="D2362" s="483" t="str">
        <f t="shared" si="464"/>
        <v>0100</v>
      </c>
      <c r="E2362" s="484" t="str">
        <f t="shared" si="464"/>
        <v>108298</v>
      </c>
      <c r="F2362" s="526" t="str">
        <f t="shared" si="464"/>
        <v>SAEST</v>
      </c>
      <c r="G2362" s="488" t="str">
        <f t="shared" si="464"/>
        <v>Alunos Atendidos</v>
      </c>
      <c r="H2362" s="489">
        <f t="shared" si="464"/>
        <v>100</v>
      </c>
      <c r="I2362" s="473">
        <f t="shared" si="464"/>
        <v>50000</v>
      </c>
      <c r="J2362" s="473">
        <f t="shared" si="464"/>
        <v>0</v>
      </c>
      <c r="K2362" s="473">
        <f t="shared" si="464"/>
        <v>50000</v>
      </c>
      <c r="L2362" s="167">
        <f t="shared" ref="L2362:N2363" si="466">L709</f>
        <v>200000</v>
      </c>
      <c r="M2362" s="167">
        <f t="shared" si="466"/>
        <v>0</v>
      </c>
      <c r="N2362" s="167">
        <f t="shared" si="466"/>
        <v>200000</v>
      </c>
      <c r="O2362" s="405"/>
      <c r="P2362" s="405"/>
    </row>
    <row r="2363" spans="1:20" ht="54.75" hidden="1" customHeight="1">
      <c r="A2363" s="273"/>
      <c r="B2363" s="481" t="str">
        <f t="shared" si="464"/>
        <v>M3422G2301N</v>
      </c>
      <c r="C2363" s="490" t="str">
        <f t="shared" si="464"/>
        <v>BOLSAS CASA DE ESTUDANTE</v>
      </c>
      <c r="D2363" s="483" t="str">
        <f t="shared" si="464"/>
        <v>0100</v>
      </c>
      <c r="E2363" s="484" t="str">
        <f t="shared" si="464"/>
        <v>108298</v>
      </c>
      <c r="F2363" s="526" t="str">
        <f t="shared" si="464"/>
        <v>SAEST</v>
      </c>
      <c r="G2363" s="488" t="str">
        <f t="shared" si="464"/>
        <v>Bolsas Ofertadas</v>
      </c>
      <c r="H2363" s="489">
        <f t="shared" si="464"/>
        <v>10</v>
      </c>
      <c r="I2363" s="473">
        <f t="shared" si="464"/>
        <v>480000</v>
      </c>
      <c r="J2363" s="473">
        <f t="shared" si="464"/>
        <v>0</v>
      </c>
      <c r="K2363" s="473">
        <f t="shared" si="464"/>
        <v>480000</v>
      </c>
      <c r="L2363" s="167">
        <f t="shared" si="466"/>
        <v>1680000</v>
      </c>
      <c r="M2363" s="167">
        <f t="shared" si="466"/>
        <v>0</v>
      </c>
      <c r="N2363" s="167">
        <f t="shared" si="466"/>
        <v>1680000</v>
      </c>
      <c r="O2363" s="405"/>
      <c r="P2363" s="405"/>
    </row>
    <row r="2364" spans="1:20" ht="54.75" hidden="1" customHeight="1">
      <c r="A2364" s="273"/>
      <c r="B2364" s="481" t="str">
        <f t="shared" si="464"/>
        <v>M3427G2301N</v>
      </c>
      <c r="C2364" s="490" t="str">
        <f t="shared" si="464"/>
        <v>AUXÍLIO PERMANÊNCIA KIT ACADÊMICO</v>
      </c>
      <c r="D2364" s="483" t="str">
        <f t="shared" si="464"/>
        <v>0100</v>
      </c>
      <c r="E2364" s="484" t="str">
        <f t="shared" si="464"/>
        <v>108298</v>
      </c>
      <c r="F2364" s="526" t="str">
        <f t="shared" si="464"/>
        <v>SAEST</v>
      </c>
      <c r="G2364" s="488" t="str">
        <f t="shared" si="464"/>
        <v>Alunos Atendidos</v>
      </c>
      <c r="H2364" s="489">
        <f t="shared" si="464"/>
        <v>100</v>
      </c>
      <c r="I2364" s="473">
        <f t="shared" si="464"/>
        <v>500000</v>
      </c>
      <c r="J2364" s="473">
        <f t="shared" si="464"/>
        <v>0</v>
      </c>
      <c r="K2364" s="473">
        <f t="shared" si="464"/>
        <v>500000</v>
      </c>
      <c r="L2364" s="167">
        <f t="shared" ref="L2364:N2366" si="467">L646</f>
        <v>0</v>
      </c>
      <c r="M2364" s="167">
        <f t="shared" si="467"/>
        <v>0</v>
      </c>
      <c r="N2364" s="167">
        <f t="shared" si="467"/>
        <v>0</v>
      </c>
      <c r="O2364" s="405"/>
      <c r="P2364" s="405"/>
    </row>
    <row r="2365" spans="1:20" ht="54.75" hidden="1" customHeight="1">
      <c r="A2365" s="273"/>
      <c r="B2365" s="481" t="str">
        <f t="shared" si="464"/>
        <v>M3428G2301N</v>
      </c>
      <c r="C2365" s="490" t="str">
        <f t="shared" si="464"/>
        <v>AUXÍLIO PERMANÊNCIA MORADIA INDÍGENAS, QUILOMBOLAS E POPULAÇÕES TRADICIONAIS</v>
      </c>
      <c r="D2365" s="483" t="str">
        <f t="shared" si="464"/>
        <v>0100</v>
      </c>
      <c r="E2365" s="484" t="str">
        <f t="shared" si="464"/>
        <v>108298</v>
      </c>
      <c r="F2365" s="526" t="str">
        <f t="shared" si="464"/>
        <v>SAEST</v>
      </c>
      <c r="G2365" s="488" t="str">
        <f t="shared" si="464"/>
        <v>Alunos Atendidos</v>
      </c>
      <c r="H2365" s="489">
        <f t="shared" si="464"/>
        <v>220</v>
      </c>
      <c r="I2365" s="473">
        <f t="shared" si="464"/>
        <v>1200000</v>
      </c>
      <c r="J2365" s="473">
        <f t="shared" si="464"/>
        <v>0</v>
      </c>
      <c r="K2365" s="473">
        <f t="shared" si="464"/>
        <v>1200000</v>
      </c>
      <c r="L2365" s="167">
        <f t="shared" si="467"/>
        <v>0</v>
      </c>
      <c r="M2365" s="167">
        <f t="shared" si="467"/>
        <v>0</v>
      </c>
      <c r="N2365" s="167">
        <f t="shared" si="467"/>
        <v>0</v>
      </c>
      <c r="O2365" s="405"/>
      <c r="P2365" s="405"/>
    </row>
    <row r="2366" spans="1:20" ht="54.75" hidden="1" customHeight="1">
      <c r="A2366" s="273"/>
      <c r="B2366" s="481" t="str">
        <f t="shared" si="464"/>
        <v>M3429G2301N</v>
      </c>
      <c r="C2366" s="490" t="str">
        <f t="shared" si="464"/>
        <v>AUXÍLIO PERMANÊNCIA CRECHE - UNICRECHE</v>
      </c>
      <c r="D2366" s="483" t="str">
        <f t="shared" si="464"/>
        <v>0100</v>
      </c>
      <c r="E2366" s="484" t="str">
        <f t="shared" si="464"/>
        <v>108298</v>
      </c>
      <c r="F2366" s="526" t="str">
        <f t="shared" si="464"/>
        <v>SAEST</v>
      </c>
      <c r="G2366" s="488" t="str">
        <f t="shared" si="464"/>
        <v>Alunos Atendidos</v>
      </c>
      <c r="H2366" s="489">
        <f t="shared" si="464"/>
        <v>30</v>
      </c>
      <c r="I2366" s="473">
        <f t="shared" si="464"/>
        <v>100000</v>
      </c>
      <c r="J2366" s="473">
        <f t="shared" si="464"/>
        <v>0</v>
      </c>
      <c r="K2366" s="473">
        <f t="shared" si="464"/>
        <v>100000</v>
      </c>
      <c r="L2366" s="167">
        <f t="shared" si="467"/>
        <v>0</v>
      </c>
      <c r="M2366" s="167">
        <f t="shared" si="467"/>
        <v>0</v>
      </c>
      <c r="N2366" s="167">
        <f t="shared" si="467"/>
        <v>0</v>
      </c>
      <c r="O2366" s="405"/>
      <c r="P2366" s="405"/>
    </row>
    <row r="2367" spans="1:20" ht="54.75" hidden="1" customHeight="1">
      <c r="A2367" s="273"/>
      <c r="B2367" s="481" t="str">
        <f t="shared" si="464"/>
        <v>M3430G2301N</v>
      </c>
      <c r="C2367" s="490" t="str">
        <f t="shared" si="464"/>
        <v>AUXÍLIO PERMANÊNCIA KIT ALUNO PCD</v>
      </c>
      <c r="D2367" s="483" t="str">
        <f t="shared" si="464"/>
        <v>0100</v>
      </c>
      <c r="E2367" s="484" t="str">
        <f t="shared" si="464"/>
        <v>108298</v>
      </c>
      <c r="F2367" s="526" t="str">
        <f t="shared" si="464"/>
        <v>SAEST</v>
      </c>
      <c r="G2367" s="488" t="str">
        <f t="shared" si="464"/>
        <v>Alunos Atendidos</v>
      </c>
      <c r="H2367" s="489">
        <f t="shared" si="464"/>
        <v>30</v>
      </c>
      <c r="I2367" s="473">
        <f t="shared" si="464"/>
        <v>100000</v>
      </c>
      <c r="J2367" s="473">
        <f t="shared" si="464"/>
        <v>0</v>
      </c>
      <c r="K2367" s="473">
        <f t="shared" si="464"/>
        <v>100000</v>
      </c>
      <c r="L2367" s="167" t="e">
        <f>#REF!</f>
        <v>#REF!</v>
      </c>
      <c r="M2367" s="167" t="e">
        <f>#REF!</f>
        <v>#REF!</v>
      </c>
      <c r="N2367" s="167" t="e">
        <f>#REF!</f>
        <v>#REF!</v>
      </c>
      <c r="O2367" s="405"/>
      <c r="P2367" s="405"/>
    </row>
    <row r="2368" spans="1:20" ht="54.75" hidden="1" customHeight="1">
      <c r="A2368" s="273"/>
      <c r="B2368" s="481" t="str">
        <f t="shared" si="464"/>
        <v>M3431G2301N</v>
      </c>
      <c r="C2368" s="490" t="str">
        <f t="shared" si="464"/>
        <v>AUXÍLIO PERMANÊNCIA MATERIAL DIDÁTICO PARA DISCENTES DE ODONTOLOGIA - INSTRUIR</v>
      </c>
      <c r="D2368" s="483" t="str">
        <f t="shared" si="464"/>
        <v>0100</v>
      </c>
      <c r="E2368" s="484" t="str">
        <f t="shared" si="464"/>
        <v>108298</v>
      </c>
      <c r="F2368" s="526" t="str">
        <f t="shared" si="464"/>
        <v>SAEST</v>
      </c>
      <c r="G2368" s="488" t="str">
        <f t="shared" si="464"/>
        <v>Alunos Atendidos</v>
      </c>
      <c r="H2368" s="489">
        <f t="shared" si="464"/>
        <v>30</v>
      </c>
      <c r="I2368" s="473">
        <f t="shared" si="464"/>
        <v>360000</v>
      </c>
      <c r="J2368" s="473">
        <f t="shared" si="464"/>
        <v>0</v>
      </c>
      <c r="K2368" s="473">
        <f t="shared" si="464"/>
        <v>360000</v>
      </c>
      <c r="L2368" s="167" t="e">
        <f>#REF!</f>
        <v>#REF!</v>
      </c>
      <c r="M2368" s="167" t="e">
        <f>#REF!</f>
        <v>#REF!</v>
      </c>
      <c r="N2368" s="167" t="e">
        <f>#REF!</f>
        <v>#REF!</v>
      </c>
      <c r="O2368" s="405"/>
      <c r="P2368" s="405"/>
    </row>
    <row r="2369" spans="1:20" ht="54.75" hidden="1" customHeight="1">
      <c r="A2369" s="273"/>
      <c r="B2369" s="481" t="str">
        <f t="shared" si="464"/>
        <v>M3432G2301N</v>
      </c>
      <c r="C2369" s="490" t="str">
        <f t="shared" si="464"/>
        <v>INCLUIR</v>
      </c>
      <c r="D2369" s="483" t="str">
        <f t="shared" si="464"/>
        <v>0100</v>
      </c>
      <c r="E2369" s="484" t="str">
        <f t="shared" si="464"/>
        <v>108298</v>
      </c>
      <c r="F2369" s="526" t="str">
        <f t="shared" si="464"/>
        <v>SAEST</v>
      </c>
      <c r="G2369" s="488" t="str">
        <f t="shared" si="464"/>
        <v>Alunos Atendidos</v>
      </c>
      <c r="H2369" s="489">
        <f t="shared" si="464"/>
        <v>50</v>
      </c>
      <c r="I2369" s="473">
        <f t="shared" si="464"/>
        <v>236909</v>
      </c>
      <c r="J2369" s="473">
        <f t="shared" si="464"/>
        <v>0</v>
      </c>
      <c r="K2369" s="473">
        <f t="shared" si="464"/>
        <v>236909</v>
      </c>
      <c r="L2369" s="167" t="e">
        <f>#REF!</f>
        <v>#REF!</v>
      </c>
      <c r="M2369" s="167" t="e">
        <f>#REF!</f>
        <v>#REF!</v>
      </c>
      <c r="N2369" s="167" t="e">
        <f>#REF!</f>
        <v>#REF!</v>
      </c>
      <c r="O2369" s="405"/>
      <c r="P2369" s="405"/>
    </row>
    <row r="2370" spans="1:20" ht="54.75" hidden="1" customHeight="1">
      <c r="A2370" s="273"/>
      <c r="B2370" s="481" t="str">
        <f t="shared" si="464"/>
        <v>M3433G2301N</v>
      </c>
      <c r="C2370" s="490" t="str">
        <f t="shared" si="464"/>
        <v>BOLSAS PROMISSAES</v>
      </c>
      <c r="D2370" s="483" t="str">
        <f t="shared" si="464"/>
        <v>0100</v>
      </c>
      <c r="E2370" s="484" t="str">
        <f t="shared" si="464"/>
        <v>108298</v>
      </c>
      <c r="F2370" s="526" t="str">
        <f t="shared" si="464"/>
        <v>SAEST</v>
      </c>
      <c r="G2370" s="488" t="str">
        <f t="shared" si="464"/>
        <v>Bolsas Ofertadas</v>
      </c>
      <c r="H2370" s="489">
        <f t="shared" si="464"/>
        <v>100</v>
      </c>
      <c r="I2370" s="473">
        <f t="shared" si="464"/>
        <v>276168</v>
      </c>
      <c r="J2370" s="473">
        <f t="shared" si="464"/>
        <v>0</v>
      </c>
      <c r="K2370" s="473">
        <f t="shared" si="464"/>
        <v>276168</v>
      </c>
      <c r="L2370" s="167" t="e">
        <f>#REF!</f>
        <v>#REF!</v>
      </c>
      <c r="M2370" s="167" t="e">
        <f>#REF!</f>
        <v>#REF!</v>
      </c>
      <c r="N2370" s="167" t="e">
        <f>#REF!</f>
        <v>#REF!</v>
      </c>
      <c r="O2370" s="405"/>
      <c r="P2370" s="405"/>
    </row>
    <row r="2371" spans="1:20" s="472" customFormat="1" ht="45" hidden="1" customHeight="1">
      <c r="A2371" s="478" t="s">
        <v>200</v>
      </c>
      <c r="B2371" s="1263" t="s">
        <v>200</v>
      </c>
      <c r="C2371" s="1264"/>
      <c r="D2371" s="1264"/>
      <c r="E2371" s="1264"/>
      <c r="F2371" s="1264"/>
      <c r="G2371" s="1264"/>
      <c r="H2371" s="1265"/>
      <c r="I2371" s="479">
        <f>SUM(I2354:I2370)</f>
        <v>13552725</v>
      </c>
      <c r="J2371" s="479">
        <f>SUM(J2354:J2370)</f>
        <v>0</v>
      </c>
      <c r="K2371" s="479">
        <f>I2371+J2371</f>
        <v>13552725</v>
      </c>
      <c r="L2371" s="480" t="e">
        <f>SUM(L2354:L2370)</f>
        <v>#REF!</v>
      </c>
      <c r="M2371" s="480" t="e">
        <f>SUM(M2354:M2370)</f>
        <v>#REF!</v>
      </c>
      <c r="N2371" s="480" t="e">
        <f>SUM(N2354:N2370)</f>
        <v>#REF!</v>
      </c>
      <c r="O2371" s="470">
        <f>L121</f>
        <v>13552725</v>
      </c>
      <c r="P2371" s="470" t="e">
        <f>N2371-O2371</f>
        <v>#REF!</v>
      </c>
      <c r="Q2371" s="622"/>
      <c r="R2371" s="470"/>
      <c r="S2371" s="470"/>
      <c r="T2371" s="471"/>
    </row>
    <row r="2372" spans="1:20" ht="35.1" hidden="1" customHeight="1">
      <c r="L2372" s="156"/>
      <c r="M2372" s="156"/>
      <c r="N2372" s="156"/>
    </row>
    <row r="2373" spans="1:20" ht="35.1" hidden="1" customHeight="1">
      <c r="L2373" s="156"/>
      <c r="M2373" s="156"/>
      <c r="N2373" s="156"/>
    </row>
    <row r="2374" spans="1:20" ht="20.100000000000001" hidden="1" customHeight="1">
      <c r="O2374" s="27"/>
      <c r="P2374" s="27"/>
      <c r="Q2374" s="620"/>
      <c r="R2374" s="27"/>
      <c r="S2374" s="27"/>
      <c r="T2374" s="27"/>
    </row>
    <row r="2375" spans="1:20" ht="28.5" hidden="1" customHeight="1">
      <c r="A2375" s="27"/>
      <c r="B2375" s="27"/>
      <c r="C2375" s="1204" t="s">
        <v>51</v>
      </c>
      <c r="D2375" s="1204"/>
      <c r="E2375" s="1204"/>
      <c r="F2375" s="1204"/>
      <c r="O2375" s="27"/>
      <c r="P2375" s="27"/>
      <c r="Q2375" s="620"/>
      <c r="R2375" s="27"/>
      <c r="S2375" s="27"/>
      <c r="T2375" s="27"/>
    </row>
    <row r="2376" spans="1:20" ht="30" hidden="1" customHeight="1">
      <c r="A2376" s="27"/>
      <c r="B2376" s="27"/>
      <c r="C2376" s="1204" t="s">
        <v>52</v>
      </c>
      <c r="D2376" s="1204"/>
      <c r="E2376" s="1204"/>
      <c r="F2376" s="1204"/>
      <c r="O2376" s="27"/>
      <c r="P2376" s="27"/>
      <c r="Q2376" s="620"/>
      <c r="R2376" s="27"/>
      <c r="S2376" s="27"/>
      <c r="T2376" s="27"/>
    </row>
    <row r="2377" spans="1:20" ht="35.1" hidden="1" customHeight="1">
      <c r="A2377" s="27"/>
      <c r="B2377" s="27"/>
      <c r="C2377" s="1204" t="s">
        <v>50</v>
      </c>
      <c r="D2377" s="1204"/>
      <c r="E2377" s="1204"/>
      <c r="F2377" s="1204"/>
      <c r="O2377" s="27"/>
      <c r="P2377" s="27"/>
      <c r="Q2377" s="620"/>
      <c r="R2377" s="27"/>
      <c r="S2377" s="27"/>
      <c r="T2377" s="27"/>
    </row>
    <row r="2378" spans="1:20" ht="35.1" hidden="1" customHeight="1">
      <c r="A2378" s="27"/>
      <c r="B2378" s="27"/>
      <c r="F2378" s="27"/>
      <c r="O2378" s="27"/>
      <c r="P2378" s="27"/>
      <c r="Q2378" s="620"/>
      <c r="R2378" s="27"/>
      <c r="S2378" s="27"/>
      <c r="T2378" s="27"/>
    </row>
    <row r="2379" spans="1:20" ht="21.95" hidden="1" customHeight="1">
      <c r="A2379" s="27"/>
      <c r="B2379" s="27"/>
      <c r="F2379" s="27"/>
      <c r="O2379" s="27"/>
      <c r="P2379" s="27"/>
      <c r="Q2379" s="620"/>
      <c r="R2379" s="27"/>
      <c r="S2379" s="27"/>
      <c r="T2379" s="27"/>
    </row>
    <row r="2380" spans="1:20" ht="30" hidden="1" customHeight="1">
      <c r="A2380" s="349" t="s">
        <v>1060</v>
      </c>
      <c r="B2380" s="1226" t="s">
        <v>1061</v>
      </c>
      <c r="C2380" s="1226"/>
      <c r="D2380" s="1226"/>
      <c r="E2380" s="1226"/>
      <c r="F2380" s="1226"/>
      <c r="G2380" s="1226"/>
      <c r="H2380" s="1226"/>
      <c r="I2380" s="1226"/>
      <c r="J2380" s="1226"/>
      <c r="K2380" s="1226"/>
      <c r="L2380" s="349"/>
      <c r="M2380" s="349"/>
      <c r="N2380" s="349"/>
      <c r="O2380" s="27"/>
      <c r="P2380" s="27"/>
      <c r="Q2380" s="620"/>
      <c r="R2380" s="27"/>
      <c r="S2380" s="27"/>
      <c r="T2380" s="27"/>
    </row>
    <row r="2381" spans="1:20" ht="35.1" hidden="1" customHeight="1">
      <c r="L2381" s="156"/>
      <c r="M2381" s="156"/>
      <c r="N2381" s="156"/>
    </row>
    <row r="2382" spans="1:20" ht="35.1" hidden="1" customHeight="1">
      <c r="L2382" s="156"/>
      <c r="M2382" s="156"/>
      <c r="N2382" s="156"/>
    </row>
    <row r="2383" spans="1:20" ht="39.75" hidden="1" customHeight="1">
      <c r="A2383" s="355"/>
      <c r="B2383" s="605" t="s">
        <v>744</v>
      </c>
      <c r="C2383" s="355"/>
      <c r="D2383" s="355"/>
      <c r="E2383" s="355"/>
      <c r="F2383" s="355"/>
      <c r="G2383" s="355"/>
      <c r="H2383" s="355"/>
      <c r="I2383" s="355"/>
      <c r="J2383" s="355"/>
      <c r="K2383" s="355"/>
      <c r="L2383" s="355"/>
      <c r="M2383" s="355"/>
      <c r="N2383" s="355"/>
      <c r="O2383" s="27"/>
      <c r="P2383" s="27"/>
      <c r="Q2383" s="620"/>
      <c r="R2383" s="27"/>
      <c r="S2383" s="27"/>
      <c r="T2383" s="27"/>
    </row>
    <row r="2384" spans="1:20" s="500" customFormat="1" ht="90" hidden="1">
      <c r="A2384" s="496"/>
      <c r="B2384" s="497" t="s">
        <v>646</v>
      </c>
      <c r="C2384" s="497" t="s">
        <v>1062</v>
      </c>
      <c r="D2384" s="497" t="s">
        <v>440</v>
      </c>
      <c r="E2384" s="497" t="s">
        <v>16</v>
      </c>
      <c r="F2384" s="497" t="s">
        <v>185</v>
      </c>
      <c r="G2384" s="497" t="s">
        <v>178</v>
      </c>
      <c r="H2384" s="497" t="s">
        <v>179</v>
      </c>
      <c r="I2384" s="497" t="s">
        <v>180</v>
      </c>
      <c r="J2384" s="497" t="s">
        <v>181</v>
      </c>
      <c r="K2384" s="497" t="s">
        <v>200</v>
      </c>
      <c r="L2384" s="496" t="s">
        <v>180</v>
      </c>
      <c r="M2384" s="496" t="s">
        <v>181</v>
      </c>
      <c r="N2384" s="496" t="s">
        <v>200</v>
      </c>
      <c r="O2384" s="498" t="s">
        <v>200</v>
      </c>
      <c r="P2384" s="498" t="s">
        <v>200</v>
      </c>
      <c r="Q2384" s="622"/>
      <c r="R2384" s="498"/>
      <c r="S2384" s="498"/>
      <c r="T2384" s="499"/>
    </row>
    <row r="2385" spans="1:20" ht="54.75" hidden="1" customHeight="1">
      <c r="A2385" s="273"/>
      <c r="B2385" s="481" t="str">
        <f>B447</f>
        <v>M3526G0113N</v>
      </c>
      <c r="C2385" s="490" t="str">
        <f t="shared" ref="C2385:N2386" si="468">C447</f>
        <v>CONTRATAÇÃO DE SERVIÇOS TERCEIRIZADOS DE VIGILÂNCIA</v>
      </c>
      <c r="D2385" s="483">
        <f t="shared" si="468"/>
        <v>8100</v>
      </c>
      <c r="E2385" s="484" t="str">
        <f t="shared" si="468"/>
        <v>108294</v>
      </c>
      <c r="F2385" s="526" t="str">
        <f t="shared" si="468"/>
        <v>PRECAMPUS</v>
      </c>
      <c r="G2385" s="488" t="str">
        <f t="shared" si="468"/>
        <v xml:space="preserve">Redução de Ocorrências </v>
      </c>
      <c r="H2385" s="489">
        <f t="shared" si="468"/>
        <v>0.2</v>
      </c>
      <c r="I2385" s="473">
        <f t="shared" si="468"/>
        <v>23500000</v>
      </c>
      <c r="J2385" s="473">
        <f t="shared" si="468"/>
        <v>0</v>
      </c>
      <c r="K2385" s="473">
        <f t="shared" si="468"/>
        <v>23500000</v>
      </c>
      <c r="L2385" s="167">
        <f t="shared" si="468"/>
        <v>23500000</v>
      </c>
      <c r="M2385" s="167">
        <f t="shared" si="468"/>
        <v>0</v>
      </c>
      <c r="N2385" s="167">
        <f t="shared" si="468"/>
        <v>23500000</v>
      </c>
      <c r="O2385" s="405"/>
      <c r="P2385" s="405"/>
    </row>
    <row r="2386" spans="1:20" ht="54.75" hidden="1" customHeight="1">
      <c r="A2386" s="273"/>
      <c r="B2386" s="481" t="str">
        <f>B448</f>
        <v>M3527G0117N</v>
      </c>
      <c r="C2386" s="490" t="str">
        <f t="shared" si="468"/>
        <v xml:space="preserve">DESPESAS COM ENERGIA ELÉTRICA DA UFPA </v>
      </c>
      <c r="D2386" s="483">
        <f t="shared" si="468"/>
        <v>8100</v>
      </c>
      <c r="E2386" s="484" t="str">
        <f t="shared" si="468"/>
        <v>108294</v>
      </c>
      <c r="F2386" s="526" t="str">
        <f t="shared" si="468"/>
        <v>PRECAMPUS</v>
      </c>
      <c r="G2386" s="488" t="str">
        <f t="shared" si="468"/>
        <v>Atendimento Realizado</v>
      </c>
      <c r="H2386" s="489">
        <f t="shared" si="468"/>
        <v>1</v>
      </c>
      <c r="I2386" s="473">
        <f t="shared" si="468"/>
        <v>4946639</v>
      </c>
      <c r="J2386" s="473">
        <f t="shared" si="468"/>
        <v>0</v>
      </c>
      <c r="K2386" s="473">
        <f t="shared" si="468"/>
        <v>4946639</v>
      </c>
      <c r="L2386" s="167">
        <f t="shared" si="468"/>
        <v>4946639</v>
      </c>
      <c r="M2386" s="167">
        <f t="shared" si="468"/>
        <v>0</v>
      </c>
      <c r="N2386" s="167">
        <f t="shared" si="468"/>
        <v>4946639</v>
      </c>
      <c r="O2386" s="405"/>
      <c r="P2386" s="405"/>
    </row>
    <row r="2387" spans="1:20" ht="54.75" hidden="1" customHeight="1">
      <c r="A2387" s="273"/>
      <c r="B2387" s="481" t="str">
        <f>B827</f>
        <v>M3518G0118N</v>
      </c>
      <c r="C2387" s="490" t="str">
        <f t="shared" ref="C2387:N2388" si="469">C827</f>
        <v>MANUTENÇÃO DO SIGAA</v>
      </c>
      <c r="D2387" s="483">
        <f t="shared" si="469"/>
        <v>8100</v>
      </c>
      <c r="E2387" s="484" t="str">
        <f t="shared" si="469"/>
        <v>108294</v>
      </c>
      <c r="F2387" s="526" t="str">
        <f t="shared" si="469"/>
        <v>CTIC</v>
      </c>
      <c r="G2387" s="488" t="str">
        <f t="shared" si="469"/>
        <v>Contrato executado</v>
      </c>
      <c r="H2387" s="489">
        <f t="shared" si="469"/>
        <v>1</v>
      </c>
      <c r="I2387" s="473">
        <f t="shared" si="469"/>
        <v>480000</v>
      </c>
      <c r="J2387" s="473">
        <f t="shared" si="469"/>
        <v>0</v>
      </c>
      <c r="K2387" s="473">
        <f t="shared" si="469"/>
        <v>480000</v>
      </c>
      <c r="L2387" s="167">
        <f t="shared" si="469"/>
        <v>480000</v>
      </c>
      <c r="M2387" s="167">
        <f t="shared" si="469"/>
        <v>0</v>
      </c>
      <c r="N2387" s="167">
        <f t="shared" si="469"/>
        <v>480000</v>
      </c>
      <c r="O2387" s="405"/>
      <c r="P2387" s="405"/>
    </row>
    <row r="2388" spans="1:20" ht="54.75" hidden="1" customHeight="1">
      <c r="A2388" s="273"/>
      <c r="B2388" s="481" t="str">
        <f>B828</f>
        <v>M3517G0118N</v>
      </c>
      <c r="C2388" s="490" t="str">
        <f t="shared" si="469"/>
        <v>CONVÊNIO COM A PRODEPA</v>
      </c>
      <c r="D2388" s="483">
        <f t="shared" si="469"/>
        <v>8100</v>
      </c>
      <c r="E2388" s="484" t="str">
        <f t="shared" si="469"/>
        <v>108294</v>
      </c>
      <c r="F2388" s="526" t="str">
        <f t="shared" si="469"/>
        <v>CTIC</v>
      </c>
      <c r="G2388" s="488" t="str">
        <f t="shared" si="469"/>
        <v>Convênio Executado</v>
      </c>
      <c r="H2388" s="489">
        <f t="shared" si="469"/>
        <v>1</v>
      </c>
      <c r="I2388" s="473">
        <f t="shared" si="469"/>
        <v>780000</v>
      </c>
      <c r="J2388" s="473">
        <f t="shared" si="469"/>
        <v>0</v>
      </c>
      <c r="K2388" s="473">
        <f t="shared" si="469"/>
        <v>780000</v>
      </c>
      <c r="L2388" s="167">
        <f t="shared" si="469"/>
        <v>780000</v>
      </c>
      <c r="M2388" s="167">
        <f t="shared" si="469"/>
        <v>0</v>
      </c>
      <c r="N2388" s="167">
        <f t="shared" si="469"/>
        <v>780000</v>
      </c>
      <c r="O2388" s="405"/>
      <c r="P2388" s="405"/>
    </row>
    <row r="2389" spans="1:20" ht="54.75" hidden="1" customHeight="1">
      <c r="A2389" s="273"/>
      <c r="B2389" s="481" t="str">
        <f t="shared" ref="B2389:N2389" si="470">B883</f>
        <v>M3504G0117N</v>
      </c>
      <c r="C2389" s="490" t="str">
        <f t="shared" si="470"/>
        <v>MANUTENÇÃO DAS UNIDADES</v>
      </c>
      <c r="D2389" s="483">
        <f t="shared" si="470"/>
        <v>8100</v>
      </c>
      <c r="E2389" s="484" t="str">
        <f t="shared" si="470"/>
        <v>108294</v>
      </c>
      <c r="F2389" s="526" t="str">
        <f t="shared" si="470"/>
        <v>Coord. REUNI</v>
      </c>
      <c r="G2389" s="488" t="str">
        <f t="shared" si="470"/>
        <v>Vagas Disponibilizadas</v>
      </c>
      <c r="H2389" s="489">
        <f t="shared" si="470"/>
        <v>1</v>
      </c>
      <c r="I2389" s="473">
        <f t="shared" si="470"/>
        <v>1022683</v>
      </c>
      <c r="J2389" s="473">
        <f t="shared" si="470"/>
        <v>0</v>
      </c>
      <c r="K2389" s="473">
        <f t="shared" si="470"/>
        <v>1022683</v>
      </c>
      <c r="L2389" s="167">
        <f t="shared" si="470"/>
        <v>1022683</v>
      </c>
      <c r="M2389" s="167">
        <f t="shared" si="470"/>
        <v>0</v>
      </c>
      <c r="N2389" s="167">
        <f t="shared" si="470"/>
        <v>1022683</v>
      </c>
      <c r="O2389" s="405"/>
      <c r="P2389" s="405"/>
    </row>
    <row r="2390" spans="1:20" s="472" customFormat="1" ht="45" hidden="1" customHeight="1">
      <c r="A2390" s="478"/>
      <c r="B2390" s="1263" t="s">
        <v>200</v>
      </c>
      <c r="C2390" s="1264"/>
      <c r="D2390" s="1264"/>
      <c r="E2390" s="1264"/>
      <c r="F2390" s="1264"/>
      <c r="G2390" s="1264"/>
      <c r="H2390" s="1265"/>
      <c r="I2390" s="479">
        <f>SUM(I2385:I2389)</f>
        <v>30729322</v>
      </c>
      <c r="J2390" s="479">
        <f>SUM(J2385:J2389)</f>
        <v>0</v>
      </c>
      <c r="K2390" s="479">
        <f>I2390+J2390</f>
        <v>30729322</v>
      </c>
      <c r="L2390" s="480">
        <f>SUM(L2385:L2389)</f>
        <v>30729322</v>
      </c>
      <c r="M2390" s="480">
        <f>SUM(M2385:M2389)</f>
        <v>0</v>
      </c>
      <c r="N2390" s="480">
        <f>SUM(N2385:N2389)</f>
        <v>30729322</v>
      </c>
      <c r="O2390" s="470">
        <f>L117</f>
        <v>30729322</v>
      </c>
      <c r="P2390" s="470">
        <f>N2390-O2390</f>
        <v>0</v>
      </c>
      <c r="Q2390" s="622"/>
      <c r="R2390" s="470"/>
      <c r="S2390" s="470"/>
      <c r="T2390" s="471"/>
    </row>
    <row r="2391" spans="1:20" ht="35.1" hidden="1" customHeight="1"/>
    <row r="2392" spans="1:20" ht="35.1" hidden="1" customHeight="1">
      <c r="K2392" s="341"/>
    </row>
    <row r="2393" spans="1:20" ht="35.1" hidden="1" customHeight="1">
      <c r="B2393" s="605" t="s">
        <v>908</v>
      </c>
      <c r="C2393" s="605"/>
      <c r="D2393" s="605"/>
      <c r="E2393" s="605"/>
      <c r="F2393" s="605"/>
      <c r="G2393" s="605"/>
      <c r="H2393" s="605"/>
      <c r="I2393" s="605"/>
      <c r="J2393" s="605"/>
      <c r="K2393" s="605"/>
      <c r="L2393" s="605"/>
      <c r="M2393" s="605"/>
      <c r="N2393" s="605"/>
      <c r="O2393" s="605"/>
    </row>
    <row r="2394" spans="1:20" s="500" customFormat="1" ht="90" hidden="1">
      <c r="A2394" s="496"/>
      <c r="B2394" s="497" t="s">
        <v>646</v>
      </c>
      <c r="C2394" s="497" t="s">
        <v>1062</v>
      </c>
      <c r="D2394" s="497" t="s">
        <v>440</v>
      </c>
      <c r="E2394" s="497" t="s">
        <v>16</v>
      </c>
      <c r="F2394" s="497" t="s">
        <v>185</v>
      </c>
      <c r="G2394" s="497" t="s">
        <v>178</v>
      </c>
      <c r="H2394" s="497" t="s">
        <v>179</v>
      </c>
      <c r="I2394" s="497" t="s">
        <v>180</v>
      </c>
      <c r="J2394" s="497" t="s">
        <v>181</v>
      </c>
      <c r="K2394" s="497" t="s">
        <v>200</v>
      </c>
      <c r="L2394" s="496" t="s">
        <v>180</v>
      </c>
      <c r="M2394" s="496" t="s">
        <v>181</v>
      </c>
      <c r="N2394" s="496" t="s">
        <v>200</v>
      </c>
      <c r="O2394" s="498" t="s">
        <v>200</v>
      </c>
      <c r="P2394" s="498"/>
      <c r="Q2394" s="622"/>
      <c r="R2394" s="498"/>
      <c r="S2394" s="498"/>
      <c r="T2394" s="499"/>
    </row>
    <row r="2395" spans="1:20" ht="54.75" hidden="1" customHeight="1">
      <c r="A2395" s="273"/>
      <c r="B2395" s="481" t="str">
        <f t="shared" ref="B2395:N2395" si="471">B484</f>
        <v>M3601G0115N</v>
      </c>
      <c r="C2395" s="490" t="str">
        <f t="shared" si="471"/>
        <v>AJUDA DE CUSTO PARA MORADIA</v>
      </c>
      <c r="D2395" s="483">
        <f t="shared" si="471"/>
        <v>8100</v>
      </c>
      <c r="E2395" s="484" t="str">
        <f t="shared" si="471"/>
        <v>111701</v>
      </c>
      <c r="F2395" s="526" t="str">
        <f t="shared" si="471"/>
        <v>PROGEP</v>
      </c>
      <c r="G2395" s="488" t="str">
        <f t="shared" si="471"/>
        <v xml:space="preserve">Servidor Atendido </v>
      </c>
      <c r="H2395" s="489">
        <f t="shared" si="471"/>
        <v>1</v>
      </c>
      <c r="I2395" s="473">
        <f t="shared" si="471"/>
        <v>10000</v>
      </c>
      <c r="J2395" s="473">
        <f t="shared" si="471"/>
        <v>0</v>
      </c>
      <c r="K2395" s="473">
        <f t="shared" si="471"/>
        <v>10000</v>
      </c>
      <c r="L2395" s="167">
        <f t="shared" si="471"/>
        <v>10000</v>
      </c>
      <c r="M2395" s="167">
        <f t="shared" si="471"/>
        <v>0</v>
      </c>
      <c r="N2395" s="167">
        <f t="shared" si="471"/>
        <v>10000</v>
      </c>
      <c r="O2395" s="405"/>
      <c r="P2395" s="405"/>
    </row>
    <row r="2396" spans="1:20" s="472" customFormat="1" ht="45" hidden="1" customHeight="1">
      <c r="A2396" s="478"/>
      <c r="B2396" s="1263" t="s">
        <v>200</v>
      </c>
      <c r="C2396" s="1264"/>
      <c r="D2396" s="1264"/>
      <c r="E2396" s="1264"/>
      <c r="F2396" s="1264"/>
      <c r="G2396" s="1264"/>
      <c r="H2396" s="1265"/>
      <c r="I2396" s="479">
        <f t="shared" ref="I2396:N2396" si="472">SUM(I2395:I2395)</f>
        <v>10000</v>
      </c>
      <c r="J2396" s="479">
        <f t="shared" si="472"/>
        <v>0</v>
      </c>
      <c r="K2396" s="479">
        <f t="shared" si="472"/>
        <v>10000</v>
      </c>
      <c r="L2396" s="480">
        <f t="shared" si="472"/>
        <v>10000</v>
      </c>
      <c r="M2396" s="480">
        <f t="shared" si="472"/>
        <v>0</v>
      </c>
      <c r="N2396" s="480">
        <f t="shared" si="472"/>
        <v>10000</v>
      </c>
      <c r="O2396" s="470">
        <f>L484</f>
        <v>10000</v>
      </c>
      <c r="P2396" s="470"/>
      <c r="Q2396" s="622"/>
      <c r="R2396" s="470"/>
      <c r="S2396" s="470"/>
      <c r="T2396" s="471"/>
    </row>
    <row r="2398" spans="1:20" ht="35.1" customHeight="1">
      <c r="A2398" s="27"/>
      <c r="I2398" s="429"/>
      <c r="J2398" s="429"/>
      <c r="P2398" s="27"/>
      <c r="Q2398" s="620"/>
      <c r="R2398" s="27"/>
      <c r="S2398" s="27"/>
      <c r="T2398" s="27"/>
    </row>
    <row r="2399" spans="1:20" ht="35.1" customHeight="1">
      <c r="A2399" s="27"/>
      <c r="D2399" s="404"/>
      <c r="I2399" s="430"/>
      <c r="J2399" s="430"/>
      <c r="P2399" s="27"/>
      <c r="Q2399" s="620"/>
      <c r="R2399" s="27"/>
      <c r="S2399" s="27"/>
      <c r="T2399" s="27"/>
    </row>
  </sheetData>
  <mergeCells count="813">
    <mergeCell ref="C2375:F2375"/>
    <mergeCell ref="C2376:F2376"/>
    <mergeCell ref="C2377:F2377"/>
    <mergeCell ref="B2380:K2380"/>
    <mergeCell ref="B2390:H2390"/>
    <mergeCell ref="B2396:H2396"/>
    <mergeCell ref="B2339:H2339"/>
    <mergeCell ref="C2344:F2344"/>
    <mergeCell ref="C2345:F2345"/>
    <mergeCell ref="C2346:F2346"/>
    <mergeCell ref="B2349:K2349"/>
    <mergeCell ref="B2371:H2371"/>
    <mergeCell ref="N2309:N2311"/>
    <mergeCell ref="O2309:O2311"/>
    <mergeCell ref="P2309:P2311"/>
    <mergeCell ref="B2318:H2318"/>
    <mergeCell ref="B2326:H2326"/>
    <mergeCell ref="B2332:H2332"/>
    <mergeCell ref="H2309:H2311"/>
    <mergeCell ref="I2309:I2311"/>
    <mergeCell ref="J2309:J2311"/>
    <mergeCell ref="K2309:K2311"/>
    <mergeCell ref="L2309:L2311"/>
    <mergeCell ref="M2309:M2311"/>
    <mergeCell ref="B2309:B2311"/>
    <mergeCell ref="C2309:C2311"/>
    <mergeCell ref="D2309:D2311"/>
    <mergeCell ref="E2309:E2311"/>
    <mergeCell ref="F2309:F2311"/>
    <mergeCell ref="G2309:G2311"/>
    <mergeCell ref="C2292:F2292"/>
    <mergeCell ref="C2293:F2293"/>
    <mergeCell ref="C2294:F2294"/>
    <mergeCell ref="C2296:L2296"/>
    <mergeCell ref="B2297:K2297"/>
    <mergeCell ref="B2306:H2306"/>
    <mergeCell ref="C2267:F2267"/>
    <mergeCell ref="C2269:L2269"/>
    <mergeCell ref="B2270:K2270"/>
    <mergeCell ref="B2282:H2282"/>
    <mergeCell ref="B2288:H2288"/>
    <mergeCell ref="C2291:N2291"/>
    <mergeCell ref="C2222:F2222"/>
    <mergeCell ref="C2223:F2223"/>
    <mergeCell ref="B2226:K2226"/>
    <mergeCell ref="B2263:H2263"/>
    <mergeCell ref="C2265:F2265"/>
    <mergeCell ref="C2266:F2266"/>
    <mergeCell ref="C2178:N2178"/>
    <mergeCell ref="C2181:F2181"/>
    <mergeCell ref="C2182:F2182"/>
    <mergeCell ref="C2183:F2183"/>
    <mergeCell ref="B2186:K2186"/>
    <mergeCell ref="C2221:F2221"/>
    <mergeCell ref="C2143:F2143"/>
    <mergeCell ref="C2144:F2144"/>
    <mergeCell ref="B2147:K2147"/>
    <mergeCell ref="B2175:H2175"/>
    <mergeCell ref="C2176:N2176"/>
    <mergeCell ref="C2177:N2177"/>
    <mergeCell ref="B2109:K2109"/>
    <mergeCell ref="B2115:H2115"/>
    <mergeCell ref="B2125:H2125"/>
    <mergeCell ref="B2133:H2133"/>
    <mergeCell ref="B2139:H2139"/>
    <mergeCell ref="C2142:F2142"/>
    <mergeCell ref="B2069:K2069"/>
    <mergeCell ref="B2102:H2102"/>
    <mergeCell ref="C2103:N2103"/>
    <mergeCell ref="C2105:F2105"/>
    <mergeCell ref="C2106:F2106"/>
    <mergeCell ref="C2107:F2107"/>
    <mergeCell ref="B2040:K2040"/>
    <mergeCell ref="B2054:H2054"/>
    <mergeCell ref="B2064:H2064"/>
    <mergeCell ref="C2066:F2066"/>
    <mergeCell ref="C2067:F2067"/>
    <mergeCell ref="C2068:F2068"/>
    <mergeCell ref="C1987:F1987"/>
    <mergeCell ref="B1991:K1991"/>
    <mergeCell ref="B2032:H2032"/>
    <mergeCell ref="C2035:F2035"/>
    <mergeCell ref="C2036:F2036"/>
    <mergeCell ref="C2037:F2037"/>
    <mergeCell ref="C1945:F1945"/>
    <mergeCell ref="C1946:F1946"/>
    <mergeCell ref="C1947:F1947"/>
    <mergeCell ref="B1951:K1951"/>
    <mergeCell ref="C1985:F1985"/>
    <mergeCell ref="C1986:F1986"/>
    <mergeCell ref="C1918:F1918"/>
    <mergeCell ref="C1919:F1919"/>
    <mergeCell ref="C1920:F1920"/>
    <mergeCell ref="B1923:K1923"/>
    <mergeCell ref="B1941:H1941"/>
    <mergeCell ref="C1942:N1942"/>
    <mergeCell ref="B1853:K1853"/>
    <mergeCell ref="B1874:H1874"/>
    <mergeCell ref="C1878:F1878"/>
    <mergeCell ref="C1879:F1879"/>
    <mergeCell ref="C1880:F1880"/>
    <mergeCell ref="B1883:K1883"/>
    <mergeCell ref="C1810:F1810"/>
    <mergeCell ref="C1811:F1811"/>
    <mergeCell ref="B1814:K1814"/>
    <mergeCell ref="C1848:F1848"/>
    <mergeCell ref="C1849:F1849"/>
    <mergeCell ref="C1850:F1850"/>
    <mergeCell ref="C1776:F1776"/>
    <mergeCell ref="B1779:K1779"/>
    <mergeCell ref="B1802:H1802"/>
    <mergeCell ref="C1803:N1803"/>
    <mergeCell ref="C1804:N1804"/>
    <mergeCell ref="C1809:F1809"/>
    <mergeCell ref="C1735:F1735"/>
    <mergeCell ref="C1736:F1736"/>
    <mergeCell ref="C1737:F1737"/>
    <mergeCell ref="B1740:K1740"/>
    <mergeCell ref="C1774:F1774"/>
    <mergeCell ref="C1775:F1775"/>
    <mergeCell ref="B1691:K1691"/>
    <mergeCell ref="C1693:F1693"/>
    <mergeCell ref="C1694:F1694"/>
    <mergeCell ref="C1695:F1695"/>
    <mergeCell ref="B1698:K1698"/>
    <mergeCell ref="B1732:K1732"/>
    <mergeCell ref="C1653:F1653"/>
    <mergeCell ref="H1653:J1653"/>
    <mergeCell ref="H1654:K1654"/>
    <mergeCell ref="B1657:K1657"/>
    <mergeCell ref="B1690:H1690"/>
    <mergeCell ref="B1611:K1611"/>
    <mergeCell ref="B1643:K1643"/>
    <mergeCell ref="C1644:N1644"/>
    <mergeCell ref="C1650:F1650"/>
    <mergeCell ref="H1650:K1650"/>
    <mergeCell ref="C1651:F1651"/>
    <mergeCell ref="H1651:K1652"/>
    <mergeCell ref="C1652:F1652"/>
    <mergeCell ref="C1605:F1605"/>
    <mergeCell ref="H1605:K1606"/>
    <mergeCell ref="C1606:F1606"/>
    <mergeCell ref="C1607:F1607"/>
    <mergeCell ref="H1607:J1607"/>
    <mergeCell ref="H1608:K1608"/>
    <mergeCell ref="C1565:F1565"/>
    <mergeCell ref="H1565:J1565"/>
    <mergeCell ref="H1566:K1566"/>
    <mergeCell ref="B1568:K1568"/>
    <mergeCell ref="B1600:K1600"/>
    <mergeCell ref="C1604:F1604"/>
    <mergeCell ref="H1604:K1604"/>
    <mergeCell ref="B1539:K1539"/>
    <mergeCell ref="B1559:K1559"/>
    <mergeCell ref="C1562:F1562"/>
    <mergeCell ref="H1562:K1562"/>
    <mergeCell ref="C1563:F1563"/>
    <mergeCell ref="H1563:K1564"/>
    <mergeCell ref="C1564:F1564"/>
    <mergeCell ref="C1533:F1533"/>
    <mergeCell ref="H1533:K1534"/>
    <mergeCell ref="C1534:F1534"/>
    <mergeCell ref="C1535:F1535"/>
    <mergeCell ref="H1535:J1535"/>
    <mergeCell ref="H1536:K1536"/>
    <mergeCell ref="C1488:F1488"/>
    <mergeCell ref="H1488:J1488"/>
    <mergeCell ref="H1489:K1489"/>
    <mergeCell ref="B1492:K1492"/>
    <mergeCell ref="B1527:K1527"/>
    <mergeCell ref="C1532:F1532"/>
    <mergeCell ref="H1532:K1532"/>
    <mergeCell ref="B1457:K1457"/>
    <mergeCell ref="B1482:K1482"/>
    <mergeCell ref="C1485:F1485"/>
    <mergeCell ref="H1485:K1485"/>
    <mergeCell ref="C1486:F1486"/>
    <mergeCell ref="H1486:K1487"/>
    <mergeCell ref="C1487:F1487"/>
    <mergeCell ref="C1452:F1452"/>
    <mergeCell ref="H1452:K1453"/>
    <mergeCell ref="C1453:F1453"/>
    <mergeCell ref="C1454:F1454"/>
    <mergeCell ref="H1454:J1454"/>
    <mergeCell ref="H1455:K1455"/>
    <mergeCell ref="C1426:F1426"/>
    <mergeCell ref="H1426:J1426"/>
    <mergeCell ref="H1427:K1427"/>
    <mergeCell ref="B1429:K1429"/>
    <mergeCell ref="B1449:K1449"/>
    <mergeCell ref="C1451:F1451"/>
    <mergeCell ref="H1451:K1451"/>
    <mergeCell ref="B1403:K1403"/>
    <mergeCell ref="B1420:K1420"/>
    <mergeCell ref="B1421:K1421"/>
    <mergeCell ref="C1423:F1423"/>
    <mergeCell ref="H1423:K1423"/>
    <mergeCell ref="C1424:F1424"/>
    <mergeCell ref="H1424:K1425"/>
    <mergeCell ref="C1425:F1425"/>
    <mergeCell ref="C1398:F1398"/>
    <mergeCell ref="H1398:K1399"/>
    <mergeCell ref="C1399:F1399"/>
    <mergeCell ref="C1400:F1400"/>
    <mergeCell ref="H1400:J1400"/>
    <mergeCell ref="H1401:K1401"/>
    <mergeCell ref="C1365:F1365"/>
    <mergeCell ref="H1365:J1365"/>
    <mergeCell ref="H1366:K1366"/>
    <mergeCell ref="B1369:K1369"/>
    <mergeCell ref="B1395:K1395"/>
    <mergeCell ref="C1397:F1397"/>
    <mergeCell ref="H1397:K1397"/>
    <mergeCell ref="B1324:K1324"/>
    <mergeCell ref="B1361:K1361"/>
    <mergeCell ref="C1362:F1362"/>
    <mergeCell ref="H1362:K1362"/>
    <mergeCell ref="C1363:F1363"/>
    <mergeCell ref="H1363:K1364"/>
    <mergeCell ref="C1364:F1364"/>
    <mergeCell ref="C1319:F1319"/>
    <mergeCell ref="H1319:K1320"/>
    <mergeCell ref="C1320:F1320"/>
    <mergeCell ref="C1321:F1321"/>
    <mergeCell ref="H1321:J1321"/>
    <mergeCell ref="H1322:K1322"/>
    <mergeCell ref="C1284:F1284"/>
    <mergeCell ref="H1284:J1284"/>
    <mergeCell ref="H1285:K1285"/>
    <mergeCell ref="B1288:K1288"/>
    <mergeCell ref="B1317:K1317"/>
    <mergeCell ref="C1318:F1318"/>
    <mergeCell ref="H1318:K1318"/>
    <mergeCell ref="B1249:K1249"/>
    <mergeCell ref="B1279:K1279"/>
    <mergeCell ref="C1281:F1281"/>
    <mergeCell ref="H1281:K1281"/>
    <mergeCell ref="C1282:F1282"/>
    <mergeCell ref="H1282:K1283"/>
    <mergeCell ref="C1283:F1283"/>
    <mergeCell ref="C1243:F1243"/>
    <mergeCell ref="H1243:K1244"/>
    <mergeCell ref="C1244:F1244"/>
    <mergeCell ref="C1245:F1245"/>
    <mergeCell ref="H1245:J1245"/>
    <mergeCell ref="H1246:K1246"/>
    <mergeCell ref="C1212:F1212"/>
    <mergeCell ref="H1212:J1212"/>
    <mergeCell ref="H1213:K1213"/>
    <mergeCell ref="B1215:K1215"/>
    <mergeCell ref="B1240:K1240"/>
    <mergeCell ref="C1242:F1242"/>
    <mergeCell ref="H1242:K1242"/>
    <mergeCell ref="B1174:K1174"/>
    <mergeCell ref="B1204:K1204"/>
    <mergeCell ref="C1205:N1205"/>
    <mergeCell ref="C1209:F1209"/>
    <mergeCell ref="H1209:K1209"/>
    <mergeCell ref="C1210:F1210"/>
    <mergeCell ref="H1210:K1211"/>
    <mergeCell ref="C1211:F1211"/>
    <mergeCell ref="C1169:F1169"/>
    <mergeCell ref="H1169:K1170"/>
    <mergeCell ref="C1170:F1170"/>
    <mergeCell ref="C1171:F1171"/>
    <mergeCell ref="H1171:J1171"/>
    <mergeCell ref="H1172:K1172"/>
    <mergeCell ref="C1144:F1144"/>
    <mergeCell ref="H1144:J1144"/>
    <mergeCell ref="H1145:K1145"/>
    <mergeCell ref="B1147:K1147"/>
    <mergeCell ref="B1166:K1166"/>
    <mergeCell ref="C1168:F1168"/>
    <mergeCell ref="H1168:K1168"/>
    <mergeCell ref="B1101:K1101"/>
    <mergeCell ref="B1139:K1139"/>
    <mergeCell ref="C1141:F1141"/>
    <mergeCell ref="H1141:K1141"/>
    <mergeCell ref="C1142:F1142"/>
    <mergeCell ref="H1142:K1143"/>
    <mergeCell ref="C1143:F1143"/>
    <mergeCell ref="C1096:F1096"/>
    <mergeCell ref="H1096:K1097"/>
    <mergeCell ref="C1097:F1097"/>
    <mergeCell ref="C1098:F1098"/>
    <mergeCell ref="H1098:J1098"/>
    <mergeCell ref="H1099:K1099"/>
    <mergeCell ref="C1057:F1057"/>
    <mergeCell ref="H1057:J1057"/>
    <mergeCell ref="H1058:K1058"/>
    <mergeCell ref="B1061:K1061"/>
    <mergeCell ref="B1094:K1094"/>
    <mergeCell ref="C1095:F1095"/>
    <mergeCell ref="H1095:K1095"/>
    <mergeCell ref="B1019:K1019"/>
    <mergeCell ref="B1047:K1047"/>
    <mergeCell ref="C1054:F1054"/>
    <mergeCell ref="H1054:K1054"/>
    <mergeCell ref="C1055:F1055"/>
    <mergeCell ref="H1055:K1056"/>
    <mergeCell ref="C1056:F1056"/>
    <mergeCell ref="C1013:F1013"/>
    <mergeCell ref="H1013:K1014"/>
    <mergeCell ref="C1014:F1014"/>
    <mergeCell ref="C1015:F1015"/>
    <mergeCell ref="H1015:J1015"/>
    <mergeCell ref="H1016:K1016"/>
    <mergeCell ref="C975:F975"/>
    <mergeCell ref="H975:J975"/>
    <mergeCell ref="H976:K976"/>
    <mergeCell ref="B979:K979"/>
    <mergeCell ref="B1007:K1007"/>
    <mergeCell ref="C1012:F1012"/>
    <mergeCell ref="H1012:K1012"/>
    <mergeCell ref="B932:K932"/>
    <mergeCell ref="B965:K965"/>
    <mergeCell ref="C972:F972"/>
    <mergeCell ref="H972:K972"/>
    <mergeCell ref="C973:F973"/>
    <mergeCell ref="H973:K974"/>
    <mergeCell ref="C974:F974"/>
    <mergeCell ref="C926:F926"/>
    <mergeCell ref="H926:K927"/>
    <mergeCell ref="C927:F927"/>
    <mergeCell ref="C928:F928"/>
    <mergeCell ref="H928:J928"/>
    <mergeCell ref="H929:K929"/>
    <mergeCell ref="H900:J900"/>
    <mergeCell ref="H901:K901"/>
    <mergeCell ref="B908:K908"/>
    <mergeCell ref="B918:H918"/>
    <mergeCell ref="B919:K919"/>
    <mergeCell ref="C925:F925"/>
    <mergeCell ref="H925:K925"/>
    <mergeCell ref="B885:H885"/>
    <mergeCell ref="C886:N886"/>
    <mergeCell ref="L896:N896"/>
    <mergeCell ref="C897:F897"/>
    <mergeCell ref="H897:K897"/>
    <mergeCell ref="C898:F898"/>
    <mergeCell ref="H898:K899"/>
    <mergeCell ref="C899:F899"/>
    <mergeCell ref="C871:F871"/>
    <mergeCell ref="H871:K872"/>
    <mergeCell ref="C872:F872"/>
    <mergeCell ref="H873:J873"/>
    <mergeCell ref="H874:K874"/>
    <mergeCell ref="B878:K878"/>
    <mergeCell ref="H839:K839"/>
    <mergeCell ref="B843:K843"/>
    <mergeCell ref="B861:H861"/>
    <mergeCell ref="B862:K862"/>
    <mergeCell ref="L869:N869"/>
    <mergeCell ref="C870:F870"/>
    <mergeCell ref="H870:K870"/>
    <mergeCell ref="C835:F835"/>
    <mergeCell ref="H835:K835"/>
    <mergeCell ref="C836:F836"/>
    <mergeCell ref="H836:K837"/>
    <mergeCell ref="C837:F837"/>
    <mergeCell ref="H838:J838"/>
    <mergeCell ref="H801:K801"/>
    <mergeCell ref="B807:K807"/>
    <mergeCell ref="B830:H830"/>
    <mergeCell ref="B831:K831"/>
    <mergeCell ref="C832:N832"/>
    <mergeCell ref="L834:N834"/>
    <mergeCell ref="C797:F797"/>
    <mergeCell ref="H797:K797"/>
    <mergeCell ref="C798:F798"/>
    <mergeCell ref="H798:K799"/>
    <mergeCell ref="C799:F799"/>
    <mergeCell ref="H800:J800"/>
    <mergeCell ref="C778:F778"/>
    <mergeCell ref="B779:K779"/>
    <mergeCell ref="B787:H787"/>
    <mergeCell ref="B788:K788"/>
    <mergeCell ref="A790:N790"/>
    <mergeCell ref="L796:N796"/>
    <mergeCell ref="C769:F769"/>
    <mergeCell ref="H769:K770"/>
    <mergeCell ref="C770:F770"/>
    <mergeCell ref="C771:F771"/>
    <mergeCell ref="H771:J771"/>
    <mergeCell ref="H772:K772"/>
    <mergeCell ref="H733:J733"/>
    <mergeCell ref="H734:K734"/>
    <mergeCell ref="B739:K739"/>
    <mergeCell ref="B755:H755"/>
    <mergeCell ref="B756:K756"/>
    <mergeCell ref="C768:F768"/>
    <mergeCell ref="H768:K768"/>
    <mergeCell ref="B726:K726"/>
    <mergeCell ref="C730:F730"/>
    <mergeCell ref="H730:K730"/>
    <mergeCell ref="C731:F731"/>
    <mergeCell ref="H731:K732"/>
    <mergeCell ref="C732:F732"/>
    <mergeCell ref="H688:K688"/>
    <mergeCell ref="B689:K689"/>
    <mergeCell ref="B722:H722"/>
    <mergeCell ref="B723:K723"/>
    <mergeCell ref="B724:K724"/>
    <mergeCell ref="B725:K725"/>
    <mergeCell ref="C684:F684"/>
    <mergeCell ref="H684:K684"/>
    <mergeCell ref="C685:F685"/>
    <mergeCell ref="H685:K686"/>
    <mergeCell ref="C686:F686"/>
    <mergeCell ref="H687:J687"/>
    <mergeCell ref="H659:J659"/>
    <mergeCell ref="H660:K660"/>
    <mergeCell ref="B664:K664"/>
    <mergeCell ref="B680:H680"/>
    <mergeCell ref="B681:K681"/>
    <mergeCell ref="B682:K682"/>
    <mergeCell ref="B651:H651"/>
    <mergeCell ref="B652:K652"/>
    <mergeCell ref="C656:F656"/>
    <mergeCell ref="H656:K656"/>
    <mergeCell ref="C657:F657"/>
    <mergeCell ref="H657:K658"/>
    <mergeCell ref="C658:F658"/>
    <mergeCell ref="C608:F608"/>
    <mergeCell ref="H608:K609"/>
    <mergeCell ref="C609:F609"/>
    <mergeCell ref="H610:J610"/>
    <mergeCell ref="H611:K611"/>
    <mergeCell ref="B613:K613"/>
    <mergeCell ref="B572:K572"/>
    <mergeCell ref="B602:H602"/>
    <mergeCell ref="B603:K603"/>
    <mergeCell ref="C604:N604"/>
    <mergeCell ref="C607:F607"/>
    <mergeCell ref="H607:K607"/>
    <mergeCell ref="C567:F567"/>
    <mergeCell ref="H567:K568"/>
    <mergeCell ref="C568:F568"/>
    <mergeCell ref="C569:F569"/>
    <mergeCell ref="H569:J569"/>
    <mergeCell ref="H570:K570"/>
    <mergeCell ref="H536:J536"/>
    <mergeCell ref="H537:K537"/>
    <mergeCell ref="B540:K540"/>
    <mergeCell ref="B562:H562"/>
    <mergeCell ref="B564:K564"/>
    <mergeCell ref="C566:F566"/>
    <mergeCell ref="H566:K566"/>
    <mergeCell ref="C525:N525"/>
    <mergeCell ref="C526:N526"/>
    <mergeCell ref="L532:N532"/>
    <mergeCell ref="C533:F533"/>
    <mergeCell ref="H533:K533"/>
    <mergeCell ref="C534:F534"/>
    <mergeCell ref="H534:K535"/>
    <mergeCell ref="C535:F535"/>
    <mergeCell ref="B495:K495"/>
    <mergeCell ref="B520:H520"/>
    <mergeCell ref="B521:K521"/>
    <mergeCell ref="B522:K522"/>
    <mergeCell ref="B523:K523"/>
    <mergeCell ref="C524:N524"/>
    <mergeCell ref="C490:F490"/>
    <mergeCell ref="H490:K491"/>
    <mergeCell ref="C491:F491"/>
    <mergeCell ref="C492:F492"/>
    <mergeCell ref="H492:J492"/>
    <mergeCell ref="H493:K493"/>
    <mergeCell ref="H460:J460"/>
    <mergeCell ref="H461:K461"/>
    <mergeCell ref="B466:K466"/>
    <mergeCell ref="B486:H486"/>
    <mergeCell ref="B487:K487"/>
    <mergeCell ref="C489:F489"/>
    <mergeCell ref="H489:K489"/>
    <mergeCell ref="B452:K452"/>
    <mergeCell ref="C457:F457"/>
    <mergeCell ref="H457:K457"/>
    <mergeCell ref="C458:F458"/>
    <mergeCell ref="H458:K459"/>
    <mergeCell ref="C459:F459"/>
    <mergeCell ref="H408:J408"/>
    <mergeCell ref="H409:K409"/>
    <mergeCell ref="B412:K412"/>
    <mergeCell ref="B449:H449"/>
    <mergeCell ref="B450:K450"/>
    <mergeCell ref="C451:N451"/>
    <mergeCell ref="B402:K402"/>
    <mergeCell ref="C405:F405"/>
    <mergeCell ref="H405:K405"/>
    <mergeCell ref="C406:F406"/>
    <mergeCell ref="H406:K407"/>
    <mergeCell ref="C407:F407"/>
    <mergeCell ref="C364:F364"/>
    <mergeCell ref="H364:J364"/>
    <mergeCell ref="C365:F365"/>
    <mergeCell ref="H365:K365"/>
    <mergeCell ref="B368:K368"/>
    <mergeCell ref="B401:H401"/>
    <mergeCell ref="B327:K327"/>
    <mergeCell ref="B333:H333"/>
    <mergeCell ref="C334:N334"/>
    <mergeCell ref="C361:F361"/>
    <mergeCell ref="H361:K361"/>
    <mergeCell ref="C362:F362"/>
    <mergeCell ref="H362:K363"/>
    <mergeCell ref="C363:F363"/>
    <mergeCell ref="C319:F319"/>
    <mergeCell ref="H319:K320"/>
    <mergeCell ref="C320:F320"/>
    <mergeCell ref="C321:F321"/>
    <mergeCell ref="H321:J321"/>
    <mergeCell ref="H322:K322"/>
    <mergeCell ref="B305:H305"/>
    <mergeCell ref="B306:N306"/>
    <mergeCell ref="B307:K307"/>
    <mergeCell ref="B308:K308"/>
    <mergeCell ref="B309:K309"/>
    <mergeCell ref="C318:F318"/>
    <mergeCell ref="H318:K318"/>
    <mergeCell ref="C281:F281"/>
    <mergeCell ref="H281:K282"/>
    <mergeCell ref="C282:F282"/>
    <mergeCell ref="H283:J283"/>
    <mergeCell ref="H284:K284"/>
    <mergeCell ref="B289:K289"/>
    <mergeCell ref="C269:F269"/>
    <mergeCell ref="C270:F270"/>
    <mergeCell ref="C271:F271"/>
    <mergeCell ref="B273:H273"/>
    <mergeCell ref="C280:F280"/>
    <mergeCell ref="H280:K280"/>
    <mergeCell ref="C263:F263"/>
    <mergeCell ref="C264:F264"/>
    <mergeCell ref="C265:F265"/>
    <mergeCell ref="C266:F266"/>
    <mergeCell ref="C267:F267"/>
    <mergeCell ref="C268:F268"/>
    <mergeCell ref="C255:L255"/>
    <mergeCell ref="B256:K256"/>
    <mergeCell ref="C259:F259"/>
    <mergeCell ref="C260:F260"/>
    <mergeCell ref="C261:F261"/>
    <mergeCell ref="C262:F262"/>
    <mergeCell ref="C249:F249"/>
    <mergeCell ref="H249:K251"/>
    <mergeCell ref="C250:F250"/>
    <mergeCell ref="C251:F251"/>
    <mergeCell ref="H252:J252"/>
    <mergeCell ref="B254:K254"/>
    <mergeCell ref="C242:F242"/>
    <mergeCell ref="C243:F243"/>
    <mergeCell ref="C244:F244"/>
    <mergeCell ref="C245:F245"/>
    <mergeCell ref="C248:F248"/>
    <mergeCell ref="H248:K248"/>
    <mergeCell ref="C236:F236"/>
    <mergeCell ref="C237:F237"/>
    <mergeCell ref="C238:F238"/>
    <mergeCell ref="C239:F239"/>
    <mergeCell ref="C240:F240"/>
    <mergeCell ref="C241:F241"/>
    <mergeCell ref="C230:F230"/>
    <mergeCell ref="C231:F231"/>
    <mergeCell ref="C232:F232"/>
    <mergeCell ref="C233:F233"/>
    <mergeCell ref="C234:F234"/>
    <mergeCell ref="C235:F235"/>
    <mergeCell ref="C224:F224"/>
    <mergeCell ref="C225:F225"/>
    <mergeCell ref="C226:F226"/>
    <mergeCell ref="C227:F227"/>
    <mergeCell ref="C228:F228"/>
    <mergeCell ref="C229:F229"/>
    <mergeCell ref="C218:F218"/>
    <mergeCell ref="C219:F219"/>
    <mergeCell ref="C220:F220"/>
    <mergeCell ref="C221:F221"/>
    <mergeCell ref="C222:F222"/>
    <mergeCell ref="C223:F223"/>
    <mergeCell ref="C211:F211"/>
    <mergeCell ref="C213:F213"/>
    <mergeCell ref="C214:F214"/>
    <mergeCell ref="C215:F215"/>
    <mergeCell ref="C216:F216"/>
    <mergeCell ref="C217:F217"/>
    <mergeCell ref="B203:K203"/>
    <mergeCell ref="C206:F206"/>
    <mergeCell ref="C207:F207"/>
    <mergeCell ref="C208:F208"/>
    <mergeCell ref="C209:F209"/>
    <mergeCell ref="C210:F210"/>
    <mergeCell ref="C196:F196"/>
    <mergeCell ref="H196:K198"/>
    <mergeCell ref="C197:F197"/>
    <mergeCell ref="C198:F198"/>
    <mergeCell ref="H199:J199"/>
    <mergeCell ref="B201:K201"/>
    <mergeCell ref="C190:F190"/>
    <mergeCell ref="C191:F191"/>
    <mergeCell ref="C192:F192"/>
    <mergeCell ref="C193:F193"/>
    <mergeCell ref="C195:F195"/>
    <mergeCell ref="H195:K195"/>
    <mergeCell ref="C184:F184"/>
    <mergeCell ref="C185:F185"/>
    <mergeCell ref="C186:F186"/>
    <mergeCell ref="C187:F187"/>
    <mergeCell ref="C188:F188"/>
    <mergeCell ref="C189:F189"/>
    <mergeCell ref="C178:F178"/>
    <mergeCell ref="C179:F179"/>
    <mergeCell ref="C180:F180"/>
    <mergeCell ref="C181:F181"/>
    <mergeCell ref="C182:F182"/>
    <mergeCell ref="C183:F183"/>
    <mergeCell ref="C172:F172"/>
    <mergeCell ref="C173:F173"/>
    <mergeCell ref="C174:F174"/>
    <mergeCell ref="C175:F175"/>
    <mergeCell ref="C176:F176"/>
    <mergeCell ref="C177:F177"/>
    <mergeCell ref="C166:F166"/>
    <mergeCell ref="C167:F167"/>
    <mergeCell ref="C168:F168"/>
    <mergeCell ref="C169:F169"/>
    <mergeCell ref="C170:F170"/>
    <mergeCell ref="C171:F171"/>
    <mergeCell ref="C160:F160"/>
    <mergeCell ref="C161:F161"/>
    <mergeCell ref="C162:F162"/>
    <mergeCell ref="C163:F163"/>
    <mergeCell ref="C164:F164"/>
    <mergeCell ref="C165:F165"/>
    <mergeCell ref="C154:F154"/>
    <mergeCell ref="C155:F155"/>
    <mergeCell ref="C156:F156"/>
    <mergeCell ref="C157:F157"/>
    <mergeCell ref="C158:F158"/>
    <mergeCell ref="C159:F159"/>
    <mergeCell ref="O146:Q147"/>
    <mergeCell ref="B147:K147"/>
    <mergeCell ref="C150:F150"/>
    <mergeCell ref="C151:F151"/>
    <mergeCell ref="C152:F152"/>
    <mergeCell ref="C153:F153"/>
    <mergeCell ref="C138:F138"/>
    <mergeCell ref="H138:K140"/>
    <mergeCell ref="C139:F139"/>
    <mergeCell ref="C140:F140"/>
    <mergeCell ref="H141:J141"/>
    <mergeCell ref="B145:K145"/>
    <mergeCell ref="C129:F129"/>
    <mergeCell ref="C130:F130"/>
    <mergeCell ref="C131:F131"/>
    <mergeCell ref="B133:H133"/>
    <mergeCell ref="C137:F137"/>
    <mergeCell ref="H137:K137"/>
    <mergeCell ref="C123:F123"/>
    <mergeCell ref="C124:F124"/>
    <mergeCell ref="C125:F125"/>
    <mergeCell ref="C126:F126"/>
    <mergeCell ref="C127:F127"/>
    <mergeCell ref="C128:F128"/>
    <mergeCell ref="C117:F117"/>
    <mergeCell ref="C118:F118"/>
    <mergeCell ref="C119:F119"/>
    <mergeCell ref="C120:F120"/>
    <mergeCell ref="C121:F121"/>
    <mergeCell ref="C122:F122"/>
    <mergeCell ref="C111:F111"/>
    <mergeCell ref="C112:F112"/>
    <mergeCell ref="C113:F113"/>
    <mergeCell ref="C114:F114"/>
    <mergeCell ref="C115:F115"/>
    <mergeCell ref="C116:F116"/>
    <mergeCell ref="C105:F105"/>
    <mergeCell ref="C106:F106"/>
    <mergeCell ref="C107:F107"/>
    <mergeCell ref="C108:F108"/>
    <mergeCell ref="C109:F109"/>
    <mergeCell ref="C110:F110"/>
    <mergeCell ref="C99:F99"/>
    <mergeCell ref="C100:F100"/>
    <mergeCell ref="C101:F101"/>
    <mergeCell ref="C102:F102"/>
    <mergeCell ref="C103:F103"/>
    <mergeCell ref="C104:F104"/>
    <mergeCell ref="H89:J89"/>
    <mergeCell ref="B91:K91"/>
    <mergeCell ref="B93:K93"/>
    <mergeCell ref="C96:F96"/>
    <mergeCell ref="C97:F97"/>
    <mergeCell ref="C98:F98"/>
    <mergeCell ref="A84:N84"/>
    <mergeCell ref="C85:F85"/>
    <mergeCell ref="H85:K85"/>
    <mergeCell ref="C86:F86"/>
    <mergeCell ref="H86:K88"/>
    <mergeCell ref="C87:F87"/>
    <mergeCell ref="C88:F88"/>
    <mergeCell ref="G78:G80"/>
    <mergeCell ref="H78:H80"/>
    <mergeCell ref="B79:C79"/>
    <mergeCell ref="D79:E79"/>
    <mergeCell ref="B80:C80"/>
    <mergeCell ref="D80:E80"/>
    <mergeCell ref="B75:C75"/>
    <mergeCell ref="D75:E75"/>
    <mergeCell ref="B76:C76"/>
    <mergeCell ref="D76:E76"/>
    <mergeCell ref="D77:E77"/>
    <mergeCell ref="B78:C78"/>
    <mergeCell ref="D78:E78"/>
    <mergeCell ref="B69:C69"/>
    <mergeCell ref="D69:E69"/>
    <mergeCell ref="B70:C70"/>
    <mergeCell ref="D70:E70"/>
    <mergeCell ref="B71:C71"/>
    <mergeCell ref="D71:E71"/>
    <mergeCell ref="D65:E65"/>
    <mergeCell ref="B66:C66"/>
    <mergeCell ref="D66:E66"/>
    <mergeCell ref="B67:C67"/>
    <mergeCell ref="D67:E67"/>
    <mergeCell ref="B68:C68"/>
    <mergeCell ref="D68:E68"/>
    <mergeCell ref="B62:C62"/>
    <mergeCell ref="D62:E62"/>
    <mergeCell ref="B63:C63"/>
    <mergeCell ref="D63:E63"/>
    <mergeCell ref="B64:C64"/>
    <mergeCell ref="D64:E64"/>
    <mergeCell ref="D58:E58"/>
    <mergeCell ref="B59:C59"/>
    <mergeCell ref="D59:E59"/>
    <mergeCell ref="B60:C60"/>
    <mergeCell ref="D60:E60"/>
    <mergeCell ref="D61:E61"/>
    <mergeCell ref="B54:C54"/>
    <mergeCell ref="D54:E54"/>
    <mergeCell ref="D55:E55"/>
    <mergeCell ref="B56:C56"/>
    <mergeCell ref="D56:E56"/>
    <mergeCell ref="B57:C57"/>
    <mergeCell ref="D57:E57"/>
    <mergeCell ref="B48:K48"/>
    <mergeCell ref="O49:Q50"/>
    <mergeCell ref="R49:T50"/>
    <mergeCell ref="B50:K50"/>
    <mergeCell ref="B53:C53"/>
    <mergeCell ref="D53:E53"/>
    <mergeCell ref="C42:F42"/>
    <mergeCell ref="H42:K42"/>
    <mergeCell ref="C43:F43"/>
    <mergeCell ref="H43:K44"/>
    <mergeCell ref="C44:F44"/>
    <mergeCell ref="H45:J45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6:C26"/>
    <mergeCell ref="D26:E26"/>
    <mergeCell ref="G26:G27"/>
    <mergeCell ref="H26:H27"/>
    <mergeCell ref="B27:C27"/>
    <mergeCell ref="D27:E27"/>
    <mergeCell ref="B23:C23"/>
    <mergeCell ref="D23:E23"/>
    <mergeCell ref="B24:C24"/>
    <mergeCell ref="D24:E24"/>
    <mergeCell ref="B25:C25"/>
    <mergeCell ref="D25:E25"/>
    <mergeCell ref="B21:C21"/>
    <mergeCell ref="D21:E21"/>
    <mergeCell ref="B22:C22"/>
    <mergeCell ref="D22:E22"/>
    <mergeCell ref="B12:K12"/>
    <mergeCell ref="B14:K14"/>
    <mergeCell ref="B17:C17"/>
    <mergeCell ref="D17:E17"/>
    <mergeCell ref="B18:C18"/>
    <mergeCell ref="D18:E18"/>
    <mergeCell ref="C5:F5"/>
    <mergeCell ref="H5:K5"/>
    <mergeCell ref="C6:F6"/>
    <mergeCell ref="H6:K7"/>
    <mergeCell ref="C7:F7"/>
    <mergeCell ref="H8:J8"/>
    <mergeCell ref="D19:E19"/>
    <mergeCell ref="B20:C20"/>
    <mergeCell ref="D20:E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firstPageNumber="8" orientation="landscape" useFirstPageNumber="1" verticalDpi="300" r:id="rId1"/>
  <headerFooter alignWithMargins="0">
    <oddFooter>&amp;R&amp;24&amp;P</oddFooter>
  </headerFooter>
  <rowBreaks count="2" manualBreakCount="2">
    <brk id="1063" max="14" man="1"/>
    <brk id="1251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C15:G64"/>
  <sheetViews>
    <sheetView topLeftCell="A43" workbookViewId="0">
      <selection activeCell="C51" sqref="C51:G64"/>
    </sheetView>
  </sheetViews>
  <sheetFormatPr defaultRowHeight="12.75"/>
  <cols>
    <col min="3" max="3" width="72" customWidth="1"/>
    <col min="4" max="4" width="75.28515625" customWidth="1"/>
    <col min="7" max="7" width="38.5703125" bestFit="1" customWidth="1"/>
  </cols>
  <sheetData>
    <row r="15" spans="3:3" ht="90">
      <c r="C15" s="503" t="s">
        <v>1248</v>
      </c>
    </row>
    <row r="16" spans="3:3" ht="55.5">
      <c r="C16" s="490" t="s">
        <v>1249</v>
      </c>
    </row>
    <row r="21" spans="3:4" ht="27.75">
      <c r="C21" s="1218" t="s">
        <v>1217</v>
      </c>
      <c r="D21" s="1219"/>
    </row>
    <row r="22" spans="3:4" ht="27.75">
      <c r="C22" s="1222" t="s">
        <v>709</v>
      </c>
      <c r="D22" s="1223"/>
    </row>
    <row r="23" spans="3:4" ht="27.75">
      <c r="C23" s="1218" t="s">
        <v>1245</v>
      </c>
      <c r="D23" s="1219"/>
    </row>
    <row r="24" spans="3:4" ht="27.75">
      <c r="C24" s="1218" t="s">
        <v>1241</v>
      </c>
      <c r="D24" s="1219"/>
    </row>
    <row r="25" spans="3:4" ht="27.75">
      <c r="C25" s="1218" t="s">
        <v>1237</v>
      </c>
      <c r="D25" s="1219"/>
    </row>
    <row r="26" spans="3:4" ht="27.75">
      <c r="C26" s="1218" t="s">
        <v>902</v>
      </c>
      <c r="D26" s="1219"/>
    </row>
    <row r="27" spans="3:4" ht="27.75">
      <c r="C27" s="1218" t="s">
        <v>1243</v>
      </c>
      <c r="D27" s="1219"/>
    </row>
    <row r="28" spans="3:4" ht="27.75">
      <c r="C28" s="1218" t="s">
        <v>783</v>
      </c>
      <c r="D28" s="1219"/>
    </row>
    <row r="29" spans="3:4" ht="27.75">
      <c r="C29" s="1218" t="s">
        <v>1239</v>
      </c>
      <c r="D29" s="1219"/>
    </row>
    <row r="30" spans="3:4" ht="27.75">
      <c r="C30" s="1218" t="s">
        <v>1251</v>
      </c>
      <c r="D30" s="1219"/>
    </row>
    <row r="31" spans="3:4" ht="27.75">
      <c r="C31" s="1218" t="s">
        <v>1253</v>
      </c>
      <c r="D31" s="1219"/>
    </row>
    <row r="32" spans="3:4" ht="27.75">
      <c r="C32" s="1218" t="s">
        <v>901</v>
      </c>
      <c r="D32" s="1219"/>
    </row>
    <row r="33" spans="3:4" ht="27.75">
      <c r="C33" s="1218" t="s">
        <v>1238</v>
      </c>
      <c r="D33" s="1219"/>
    </row>
    <row r="34" spans="3:4" ht="27.75">
      <c r="C34" s="1218" t="s">
        <v>1240</v>
      </c>
      <c r="D34" s="1219"/>
    </row>
    <row r="51" spans="3:7" ht="27.75">
      <c r="C51" s="1218" t="s">
        <v>1217</v>
      </c>
      <c r="D51" s="1219"/>
      <c r="E51" s="1220">
        <v>100</v>
      </c>
      <c r="F51" s="1221"/>
      <c r="G51" s="524" t="s">
        <v>778</v>
      </c>
    </row>
    <row r="52" spans="3:7" ht="27.75">
      <c r="C52" s="1222" t="s">
        <v>709</v>
      </c>
      <c r="D52" s="1223"/>
      <c r="E52" s="1220">
        <v>100</v>
      </c>
      <c r="F52" s="1221"/>
      <c r="G52" s="524" t="s">
        <v>781</v>
      </c>
    </row>
    <row r="53" spans="3:7" ht="27.75">
      <c r="C53" s="1218" t="s">
        <v>1245</v>
      </c>
      <c r="D53" s="1219"/>
      <c r="E53" s="1220">
        <v>100</v>
      </c>
      <c r="F53" s="1221"/>
      <c r="G53" s="524" t="s">
        <v>1246</v>
      </c>
    </row>
    <row r="54" spans="3:7" ht="27.75">
      <c r="C54" s="1218" t="s">
        <v>1241</v>
      </c>
      <c r="D54" s="1219"/>
      <c r="E54" s="1220">
        <v>100</v>
      </c>
      <c r="F54" s="1221"/>
      <c r="G54" s="524" t="s">
        <v>1242</v>
      </c>
    </row>
    <row r="55" spans="3:7" ht="27.75">
      <c r="C55" s="1218" t="s">
        <v>1237</v>
      </c>
      <c r="D55" s="1219"/>
      <c r="E55" s="1220">
        <v>188</v>
      </c>
      <c r="F55" s="1221"/>
      <c r="G55" s="492">
        <v>140984</v>
      </c>
    </row>
    <row r="56" spans="3:7" ht="27.75">
      <c r="C56" s="1218" t="s">
        <v>902</v>
      </c>
      <c r="D56" s="1219"/>
      <c r="E56" s="1220">
        <v>188</v>
      </c>
      <c r="F56" s="1221"/>
      <c r="G56" s="492">
        <v>140987</v>
      </c>
    </row>
    <row r="57" spans="3:7" ht="27.75">
      <c r="C57" s="1218" t="s">
        <v>1243</v>
      </c>
      <c r="D57" s="1219"/>
      <c r="E57" s="1220">
        <v>100</v>
      </c>
      <c r="F57" s="1221"/>
      <c r="G57" s="524" t="s">
        <v>1244</v>
      </c>
    </row>
    <row r="58" spans="3:7" ht="27.75">
      <c r="C58" s="1218" t="s">
        <v>783</v>
      </c>
      <c r="D58" s="1219"/>
      <c r="E58" s="1220">
        <v>100</v>
      </c>
      <c r="F58" s="1221"/>
      <c r="G58" s="524" t="s">
        <v>780</v>
      </c>
    </row>
    <row r="59" spans="3:7" ht="27.75">
      <c r="C59" s="1218" t="s">
        <v>1239</v>
      </c>
      <c r="D59" s="1219"/>
      <c r="E59" s="1220">
        <v>188</v>
      </c>
      <c r="F59" s="1221"/>
      <c r="G59" s="492">
        <v>140983</v>
      </c>
    </row>
    <row r="60" spans="3:7" ht="27.75">
      <c r="C60" s="1218" t="s">
        <v>1251</v>
      </c>
      <c r="D60" s="1219"/>
      <c r="E60" s="1220">
        <v>100</v>
      </c>
      <c r="F60" s="1221"/>
      <c r="G60" s="524" t="s">
        <v>1252</v>
      </c>
    </row>
    <row r="61" spans="3:7" ht="27.75">
      <c r="C61" s="1218" t="s">
        <v>1253</v>
      </c>
      <c r="D61" s="1219"/>
      <c r="E61" s="1220">
        <v>108</v>
      </c>
      <c r="F61" s="1221"/>
      <c r="G61" s="492">
        <v>108290</v>
      </c>
    </row>
    <row r="62" spans="3:7" ht="27.75">
      <c r="C62" s="1218" t="s">
        <v>901</v>
      </c>
      <c r="D62" s="1219"/>
      <c r="E62" s="1220">
        <v>188</v>
      </c>
      <c r="F62" s="1221"/>
      <c r="G62" s="492">
        <v>140984</v>
      </c>
    </row>
    <row r="63" spans="3:7" ht="27.75">
      <c r="C63" s="1218" t="s">
        <v>1238</v>
      </c>
      <c r="D63" s="1219"/>
      <c r="E63" s="1220">
        <v>188</v>
      </c>
      <c r="F63" s="1221"/>
      <c r="G63" s="492">
        <v>140984</v>
      </c>
    </row>
    <row r="64" spans="3:7" ht="27.75">
      <c r="C64" s="1218" t="s">
        <v>1240</v>
      </c>
      <c r="D64" s="1219"/>
      <c r="E64" s="1220">
        <v>188</v>
      </c>
      <c r="F64" s="1221"/>
      <c r="G64" s="492">
        <v>140984</v>
      </c>
    </row>
  </sheetData>
  <mergeCells count="42"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3:D33"/>
    <mergeCell ref="C34:D34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62:D62"/>
    <mergeCell ref="E62:F62"/>
    <mergeCell ref="C63:D63"/>
    <mergeCell ref="E63:F63"/>
    <mergeCell ref="C64:D64"/>
    <mergeCell ref="E64:F6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CONSOLIDAÇÃO</vt:lpstr>
      <vt:lpstr>UNIDADES ADMINISTRATIVAS </vt:lpstr>
      <vt:lpstr>INSTITUTOS</vt:lpstr>
      <vt:lpstr>NUCLEOS</vt:lpstr>
      <vt:lpstr>CAMPI</vt:lpstr>
      <vt:lpstr>UNIDADES ESPECIAIS</vt:lpstr>
      <vt:lpstr>consolidado - extra</vt:lpstr>
      <vt:lpstr>CAPITAL</vt:lpstr>
      <vt:lpstr>Plan2</vt:lpstr>
      <vt:lpstr>Plan1</vt:lpstr>
      <vt:lpstr>Limites x PLOA</vt:lpstr>
      <vt:lpstr>iniciativas estratégicas</vt:lpstr>
      <vt:lpstr>CAMPI!Area_de_impressao</vt:lpstr>
      <vt:lpstr>CAPITAL!Area_de_impressao</vt:lpstr>
      <vt:lpstr>CONSOLIDAÇÃO!Area_de_impressao</vt:lpstr>
      <vt:lpstr>'consolidado - extra'!Area_de_impressao</vt:lpstr>
      <vt:lpstr>INSTITUTOS!Area_de_impressao</vt:lpstr>
      <vt:lpstr>NUCLEOS!Area_de_impressao</vt:lpstr>
      <vt:lpstr>'UNIDADES ADMINISTRATIVAS '!Area_de_impressao</vt:lpstr>
      <vt:lpstr>'UNIDADES ESPECIAIS'!Area_de_impressao</vt:lpstr>
    </vt:vector>
  </TitlesOfParts>
  <Company>ufpa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SISPLO - Sistema de Planejamento e OrÃUBLIC "-//W3C//DTD HTML 4.0 Transitional//EN"&gt; SISPLO - Sistema de Planejamento e OrÃ§amento</dc:title>
  <dc:creator>ufpa</dc:creator>
  <cp:lastModifiedBy>Lobo</cp:lastModifiedBy>
  <cp:lastPrinted>2020-01-29T17:28:32Z</cp:lastPrinted>
  <dcterms:created xsi:type="dcterms:W3CDTF">2005-06-17T16:06:37Z</dcterms:created>
  <dcterms:modified xsi:type="dcterms:W3CDTF">2020-01-29T17:28:45Z</dcterms:modified>
</cp:coreProperties>
</file>